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ENIKI\Informativni izračuni\2024\"/>
    </mc:Choice>
  </mc:AlternateContent>
  <xr:revisionPtr revIDLastSave="0" documentId="13_ncr:1_{2EDB564A-D247-4D40-AC9D-4B1E269CA83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ospodinjstva" sheetId="1" r:id="rId1"/>
    <sheet name="Pravne osebe" sheetId="2" r:id="rId2"/>
  </sheets>
  <calcPr calcId="191029"/>
</workbook>
</file>

<file path=xl/calcChain.xml><?xml version="1.0" encoding="utf-8"?>
<calcChain xmlns="http://schemas.openxmlformats.org/spreadsheetml/2006/main">
  <c r="E18" i="2" l="1"/>
  <c r="D19" i="2" l="1"/>
  <c r="R24" i="2"/>
  <c r="R25" i="2"/>
  <c r="R26" i="2"/>
  <c r="R27" i="2"/>
  <c r="R28" i="2"/>
  <c r="R29" i="2"/>
  <c r="R31" i="2"/>
  <c r="R32" i="2"/>
  <c r="R33" i="2"/>
  <c r="R34" i="2"/>
  <c r="R35" i="2"/>
  <c r="R36" i="2"/>
  <c r="R38" i="2"/>
  <c r="R39" i="2"/>
  <c r="R40" i="2"/>
  <c r="R41" i="2"/>
  <c r="R42" i="2"/>
  <c r="R43" i="2"/>
  <c r="R45" i="2"/>
  <c r="R46" i="2"/>
  <c r="R47" i="2"/>
  <c r="R48" i="2"/>
  <c r="R49" i="2"/>
  <c r="R50" i="2"/>
  <c r="R52" i="2"/>
  <c r="R53" i="2"/>
  <c r="R54" i="2"/>
  <c r="R55" i="2"/>
  <c r="R56" i="2"/>
  <c r="R57" i="2"/>
  <c r="D18" i="2"/>
  <c r="L20" i="2"/>
  <c r="M20" i="2" s="1"/>
  <c r="N20" i="2"/>
  <c r="O20" i="2" s="1"/>
  <c r="P20" i="2"/>
  <c r="Q20" i="2" s="1"/>
  <c r="L21" i="2"/>
  <c r="M21" i="2" s="1"/>
  <c r="N21" i="2"/>
  <c r="O21" i="2" s="1"/>
  <c r="P21" i="2"/>
  <c r="Q21" i="2" s="1"/>
  <c r="D26" i="2"/>
  <c r="D24" i="1"/>
  <c r="E23" i="1"/>
  <c r="E22" i="1"/>
  <c r="E24" i="1"/>
  <c r="D23" i="1"/>
  <c r="D22" i="1"/>
  <c r="D21" i="1"/>
  <c r="D20" i="1"/>
  <c r="E20" i="1"/>
  <c r="F19" i="2" l="1"/>
  <c r="F18" i="2"/>
  <c r="F25" i="2"/>
  <c r="D18" i="1"/>
  <c r="F20" i="1"/>
  <c r="G20" i="1" s="1"/>
  <c r="E19" i="1"/>
  <c r="F23" i="1"/>
  <c r="F22" i="1"/>
  <c r="G22" i="1" s="1"/>
  <c r="F21" i="1"/>
  <c r="R69" i="2"/>
  <c r="E19" i="2" s="1"/>
  <c r="E20" i="2"/>
  <c r="E21" i="2"/>
  <c r="E22" i="2"/>
  <c r="E23" i="2"/>
  <c r="R74" i="2"/>
  <c r="R75" i="2"/>
  <c r="E24" i="2"/>
  <c r="R76" i="2"/>
  <c r="E25" i="2"/>
  <c r="B23" i="2"/>
  <c r="B22" i="2"/>
  <c r="B21" i="2"/>
  <c r="B20" i="2"/>
  <c r="B20" i="1"/>
  <c r="Z50" i="2"/>
  <c r="Z49" i="2"/>
  <c r="Z48" i="2"/>
  <c r="Z47" i="2"/>
  <c r="Z46" i="2"/>
  <c r="D21" i="2" s="1"/>
  <c r="F21" i="2" s="1"/>
  <c r="Z45" i="2"/>
  <c r="Z57" i="2"/>
  <c r="Z56" i="2"/>
  <c r="Z55" i="2"/>
  <c r="Z54" i="2"/>
  <c r="Z53" i="2"/>
  <c r="Z52" i="2"/>
  <c r="F24" i="1"/>
  <c r="E21" i="1"/>
  <c r="D19" i="1"/>
  <c r="B23" i="1"/>
  <c r="B22" i="1"/>
  <c r="B21" i="1"/>
  <c r="B19" i="1"/>
  <c r="B18" i="1"/>
  <c r="B24" i="1"/>
  <c r="E26" i="2"/>
  <c r="Z43" i="2"/>
  <c r="Z42" i="2"/>
  <c r="Z41" i="2"/>
  <c r="Z40" i="2"/>
  <c r="Z39" i="2"/>
  <c r="Z38" i="2"/>
  <c r="Z24" i="2"/>
  <c r="Z32" i="2"/>
  <c r="Z31" i="2"/>
  <c r="R67" i="2"/>
  <c r="D25" i="2"/>
  <c r="E18" i="1"/>
  <c r="B25" i="2"/>
  <c r="F24" i="2"/>
  <c r="B26" i="2"/>
  <c r="B17" i="2"/>
  <c r="B24" i="2"/>
  <c r="B19" i="2"/>
  <c r="B18" i="2"/>
  <c r="B17" i="1"/>
  <c r="F26" i="2"/>
  <c r="D24" i="2"/>
  <c r="D22" i="2" l="1"/>
  <c r="F22" i="2" s="1"/>
  <c r="G25" i="2"/>
  <c r="I25" i="2" s="1"/>
  <c r="G18" i="2"/>
  <c r="I18" i="2" s="1"/>
  <c r="G26" i="2"/>
  <c r="I26" i="2" s="1"/>
  <c r="D23" i="2"/>
  <c r="F23" i="2" s="1"/>
  <c r="D20" i="2"/>
  <c r="F20" i="2" s="1"/>
  <c r="G19" i="2"/>
  <c r="H19" i="2" s="1"/>
  <c r="G21" i="1"/>
  <c r="H21" i="1" s="1"/>
  <c r="G19" i="1"/>
  <c r="H19" i="1" s="1"/>
  <c r="G24" i="1"/>
  <c r="I24" i="1" s="1"/>
  <c r="G18" i="1"/>
  <c r="I18" i="1" s="1"/>
  <c r="G23" i="1"/>
  <c r="H23" i="1" s="1"/>
  <c r="H20" i="1"/>
  <c r="I20" i="1"/>
  <c r="I22" i="1"/>
  <c r="H22" i="1"/>
  <c r="G24" i="2"/>
  <c r="H24" i="2" s="1"/>
  <c r="G21" i="2"/>
  <c r="I21" i="2" s="1"/>
  <c r="G22" i="2" l="1"/>
  <c r="I22" i="2" s="1"/>
  <c r="I19" i="1"/>
  <c r="H25" i="2"/>
  <c r="H18" i="2"/>
  <c r="H26" i="2"/>
  <c r="G23" i="2"/>
  <c r="I23" i="2" s="1"/>
  <c r="H21" i="2"/>
  <c r="G20" i="2"/>
  <c r="I21" i="1"/>
  <c r="H18" i="1"/>
  <c r="G25" i="1"/>
  <c r="H24" i="1"/>
  <c r="I23" i="1"/>
  <c r="I19" i="2"/>
  <c r="I24" i="2"/>
  <c r="H22" i="2" l="1"/>
  <c r="H23" i="2"/>
  <c r="G27" i="2"/>
  <c r="H20" i="2"/>
  <c r="I20" i="2"/>
  <c r="I27" i="2" s="1"/>
  <c r="I25" i="1"/>
</calcChain>
</file>

<file path=xl/sharedStrings.xml><?xml version="1.0" encoding="utf-8"?>
<sst xmlns="http://schemas.openxmlformats.org/spreadsheetml/2006/main" count="304" uniqueCount="104">
  <si>
    <t>Število oseb</t>
  </si>
  <si>
    <t>Občina</t>
  </si>
  <si>
    <t>Cena</t>
  </si>
  <si>
    <t>Količina</t>
  </si>
  <si>
    <t>MOK</t>
  </si>
  <si>
    <t>Cerklje</t>
  </si>
  <si>
    <t>Šenčur</t>
  </si>
  <si>
    <t>Naklo</t>
  </si>
  <si>
    <t>Preddvor</t>
  </si>
  <si>
    <t>Gospodinjstvo</t>
  </si>
  <si>
    <t>EUR na odvoz</t>
  </si>
  <si>
    <t>EUR na osebo</t>
  </si>
  <si>
    <t>EUR na liter</t>
  </si>
  <si>
    <t>Vrednost z DDV</t>
  </si>
  <si>
    <t>Da</t>
  </si>
  <si>
    <t>Ne</t>
  </si>
  <si>
    <t>Zabojniki</t>
  </si>
  <si>
    <t>Odst.bio</t>
  </si>
  <si>
    <t>Ključavnica</t>
  </si>
  <si>
    <t>Brez</t>
  </si>
  <si>
    <t>Avtomatska</t>
  </si>
  <si>
    <t>Komunalna</t>
  </si>
  <si>
    <t>ZELENI ZABOJNIKI</t>
  </si>
  <si>
    <t>RJAVI ZABOJNIKI</t>
  </si>
  <si>
    <t>RUMENI ZABOJNIKI</t>
  </si>
  <si>
    <t>80Brez</t>
  </si>
  <si>
    <t>120Brez</t>
  </si>
  <si>
    <t>80Avtomatska</t>
  </si>
  <si>
    <t>Vol.zel</t>
  </si>
  <si>
    <t>80Komunalna</t>
  </si>
  <si>
    <t>120Avtomatska</t>
  </si>
  <si>
    <t>120Komunalna</t>
  </si>
  <si>
    <t>240Brez</t>
  </si>
  <si>
    <t>240Avtomatska</t>
  </si>
  <si>
    <t>240Komunalna</t>
  </si>
  <si>
    <t>660Brez</t>
  </si>
  <si>
    <t>660Komunalna</t>
  </si>
  <si>
    <t>1100Brez</t>
  </si>
  <si>
    <t>1100Komunalna</t>
  </si>
  <si>
    <t>Prostornina posode (litrov)</t>
  </si>
  <si>
    <t>Odvozi</t>
  </si>
  <si>
    <t>Št. strank, ki deli zabojnik</t>
  </si>
  <si>
    <t>Zbi.prev.bio</t>
  </si>
  <si>
    <t>Poslovna dejavnost</t>
  </si>
  <si>
    <t>Prostornina posode</t>
  </si>
  <si>
    <t>160Brez</t>
  </si>
  <si>
    <t>Št. zabojnikov</t>
  </si>
  <si>
    <t>900Brez</t>
  </si>
  <si>
    <t>700Brez</t>
  </si>
  <si>
    <t>DDV</t>
  </si>
  <si>
    <t>smetarsko vozilo</t>
  </si>
  <si>
    <t>2 ali več članov</t>
  </si>
  <si>
    <t>samonakladač</t>
  </si>
  <si>
    <t>1 član</t>
  </si>
  <si>
    <t>lastnik počitniške hiše</t>
  </si>
  <si>
    <t>Taksa</t>
  </si>
  <si>
    <t>vse</t>
  </si>
  <si>
    <t>EUR na L</t>
  </si>
  <si>
    <t>EUR na kg</t>
  </si>
  <si>
    <t>Zbiranje odpadkov - storitev</t>
  </si>
  <si>
    <t>Zbiranje odpadkov - infrastruktura</t>
  </si>
  <si>
    <t>Kg</t>
  </si>
  <si>
    <t>Zbiranje BIO odpadkov - storitev</t>
  </si>
  <si>
    <t>Zbiranje BIO odpadkov - infrastruktura</t>
  </si>
  <si>
    <t>-</t>
  </si>
  <si>
    <t>Obdelava in odlaganje odpadkov - storitev</t>
  </si>
  <si>
    <t>Faktor (kg)</t>
  </si>
  <si>
    <t>Faktor</t>
  </si>
  <si>
    <t>Obračunana količina v kilogramih</t>
  </si>
  <si>
    <t>Zbiranje embalaže - storitev</t>
  </si>
  <si>
    <t>Zbiranje embalaže - infrastruktura</t>
  </si>
  <si>
    <t>Zbiranje odpadkov</t>
  </si>
  <si>
    <t>Zbiranje embalaže</t>
  </si>
  <si>
    <t>Obdelava in odlaganje</t>
  </si>
  <si>
    <t>na 3 tedne</t>
  </si>
  <si>
    <t>na 14 dni</t>
  </si>
  <si>
    <t>Pretvornik</t>
  </si>
  <si>
    <t>Pogostost odvozov</t>
  </si>
  <si>
    <t>tedensko</t>
  </si>
  <si>
    <t>Skupaj stroški</t>
  </si>
  <si>
    <t>Obvezno izpolnite vsa polja. Če nimate zabojnika za odpadno embalažo oz. za biološke odpadke, polja pustite prazna.</t>
  </si>
  <si>
    <t>za mešane 
odpadke</t>
  </si>
  <si>
    <t>za odpadno 
embalažo</t>
  </si>
  <si>
    <t>za biološke 
odpadke</t>
  </si>
  <si>
    <t>kilogram</t>
  </si>
  <si>
    <t>Vrednost brez DDV</t>
  </si>
  <si>
    <t>Cena brez DDV</t>
  </si>
  <si>
    <t>Enota</t>
  </si>
  <si>
    <t>Cena v 
EUR/kg</t>
  </si>
  <si>
    <t>Pretvornik
kg/l</t>
  </si>
  <si>
    <t>Obdelava kom. odpadkov - storitev</t>
  </si>
  <si>
    <t>Obdelava kom. odpadkov - infrastruktura</t>
  </si>
  <si>
    <t>Odlaganje kom. odpadkov - storitev</t>
  </si>
  <si>
    <t>Odlaganje kom. odpadkov - infrastruktura</t>
  </si>
  <si>
    <t>Odlaganje</t>
  </si>
  <si>
    <t>Obdelava</t>
  </si>
  <si>
    <t>Obdelava - storitev</t>
  </si>
  <si>
    <t>Obdelava - infrastr</t>
  </si>
  <si>
    <t>Odlaganje - storitev</t>
  </si>
  <si>
    <t>Odlaganje - infrastu</t>
  </si>
  <si>
    <t>mko</t>
  </si>
  <si>
    <t xml:space="preserve">Izračun mesečnih stroškov rednega odvoza odpadkov </t>
  </si>
  <si>
    <t>Za gospodinjstva v Mestni občini Kranj ter občinah Šenčur in Preddvor</t>
  </si>
  <si>
    <t>Za pravne osebe v Mestni občini Kranj ter občinah Šenčur in Preddvor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</si>
</sst>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000"/>
    <numFmt numFmtId="166" formatCode="#,##0.000000"/>
  </numFmts>
  <fonts count="15" x14ac:knownFonts="1">
    <font>
      <sz val="9"/>
      <name val="Calibri"/>
      <charset val="238"/>
    </font>
    <font>
      <sz val="8"/>
      <name val="Calibri"/>
      <family val="2"/>
      <charset val="238"/>
    </font>
    <font>
      <sz val="12"/>
      <name val="Roboto Light"/>
    </font>
    <font>
      <sz val="8"/>
      <name val="Roboto Light"/>
    </font>
    <font>
      <sz val="8"/>
      <color indexed="10"/>
      <name val="Roboto Light"/>
    </font>
    <font>
      <b/>
      <sz val="12"/>
      <name val="Roboto Light"/>
    </font>
    <font>
      <b/>
      <sz val="12"/>
      <color indexed="9"/>
      <name val="Roboto Light"/>
    </font>
    <font>
      <sz val="9"/>
      <name val="Roboto Light"/>
    </font>
    <font>
      <b/>
      <sz val="10"/>
      <name val="Roboto Light"/>
    </font>
    <font>
      <b/>
      <sz val="12"/>
      <color indexed="8"/>
      <name val="Roboto Light"/>
    </font>
    <font>
      <sz val="10"/>
      <name val="Roboto Light"/>
    </font>
    <font>
      <b/>
      <sz val="20"/>
      <color rgb="FF005AAA"/>
      <name val="Roboto Light"/>
    </font>
    <font>
      <sz val="12"/>
      <color rgb="FF005AAA"/>
      <name val="Roboto Light"/>
    </font>
    <font>
      <b/>
      <sz val="12"/>
      <color rgb="FF32B455"/>
      <name val="Roboto Light"/>
    </font>
    <font>
      <b/>
      <sz val="8"/>
      <color theme="7" tint="-0.499984740745262"/>
      <name val="Century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164" fontId="3" fillId="2" borderId="0" xfId="0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3" fillId="9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3" fillId="9" borderId="0" xfId="0" applyNumberFormat="1" applyFont="1" applyFill="1" applyProtection="1">
      <protection hidden="1"/>
    </xf>
    <xf numFmtId="165" fontId="3" fillId="3" borderId="0" xfId="0" applyNumberFormat="1" applyFont="1" applyFill="1" applyProtection="1">
      <protection hidden="1"/>
    </xf>
    <xf numFmtId="0" fontId="5" fillId="2" borderId="0" xfId="0" applyFont="1" applyFill="1" applyProtection="1">
      <protection hidden="1"/>
    </xf>
    <xf numFmtId="164" fontId="3" fillId="3" borderId="0" xfId="0" applyNumberFormat="1" applyFont="1" applyFill="1" applyProtection="1">
      <protection hidden="1"/>
    </xf>
    <xf numFmtId="0" fontId="6" fillId="2" borderId="0" xfId="0" applyFont="1" applyFill="1" applyProtection="1">
      <protection hidden="1"/>
    </xf>
    <xf numFmtId="0" fontId="7" fillId="2" borderId="0" xfId="0" applyFont="1" applyFill="1"/>
    <xf numFmtId="0" fontId="3" fillId="10" borderId="0" xfId="0" applyFont="1" applyFill="1" applyProtection="1">
      <protection hidden="1"/>
    </xf>
    <xf numFmtId="4" fontId="3" fillId="10" borderId="0" xfId="0" applyNumberFormat="1" applyFont="1" applyFill="1" applyProtection="1">
      <protection hidden="1"/>
    </xf>
    <xf numFmtId="164" fontId="3" fillId="10" borderId="0" xfId="0" applyNumberFormat="1" applyFont="1" applyFill="1" applyProtection="1">
      <protection hidden="1"/>
    </xf>
    <xf numFmtId="0" fontId="9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164" fontId="3" fillId="5" borderId="0" xfId="0" applyNumberFormat="1" applyFont="1" applyFill="1" applyProtection="1">
      <protection hidden="1"/>
    </xf>
    <xf numFmtId="164" fontId="3" fillId="2" borderId="0" xfId="0" applyNumberFormat="1" applyFont="1" applyFill="1" applyAlignment="1" applyProtection="1">
      <alignment horizontal="right"/>
      <protection hidden="1"/>
    </xf>
    <xf numFmtId="166" fontId="3" fillId="2" borderId="0" xfId="0" applyNumberFormat="1" applyFont="1" applyFill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left"/>
      <protection hidden="1"/>
    </xf>
    <xf numFmtId="165" fontId="2" fillId="2" borderId="0" xfId="0" applyNumberFormat="1" applyFont="1" applyFill="1" applyProtection="1">
      <protection hidden="1"/>
    </xf>
    <xf numFmtId="165" fontId="3" fillId="2" borderId="0" xfId="0" applyNumberFormat="1" applyFont="1" applyFill="1" applyProtection="1">
      <protection hidden="1"/>
    </xf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8" fillId="2" borderId="0" xfId="0" applyFont="1" applyFill="1" applyProtection="1">
      <protection hidden="1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8" fillId="11" borderId="1" xfId="0" applyFont="1" applyFill="1" applyBorder="1" applyAlignment="1">
      <alignment horizontal="left" vertical="center" wrapText="1"/>
    </xf>
    <xf numFmtId="0" fontId="8" fillId="12" borderId="1" xfId="0" applyFont="1" applyFill="1" applyBorder="1" applyAlignment="1">
      <alignment horizontal="left" vertical="center" wrapText="1"/>
    </xf>
    <xf numFmtId="0" fontId="8" fillId="13" borderId="1" xfId="0" applyFont="1" applyFill="1" applyBorder="1" applyAlignment="1" applyProtection="1">
      <alignment vertical="center"/>
      <protection hidden="1"/>
    </xf>
    <xf numFmtId="0" fontId="8" fillId="13" borderId="2" xfId="0" applyFont="1" applyFill="1" applyBorder="1" applyAlignment="1" applyProtection="1">
      <alignment vertical="center"/>
      <protection hidden="1"/>
    </xf>
    <xf numFmtId="0" fontId="8" fillId="13" borderId="3" xfId="0" applyFont="1" applyFill="1" applyBorder="1" applyAlignment="1" applyProtection="1">
      <alignment vertical="center"/>
      <protection hidden="1"/>
    </xf>
    <xf numFmtId="0" fontId="8" fillId="13" borderId="4" xfId="0" applyFont="1" applyFill="1" applyBorder="1" applyAlignment="1" applyProtection="1">
      <alignment vertical="center"/>
      <protection hidden="1"/>
    </xf>
    <xf numFmtId="0" fontId="10" fillId="2" borderId="5" xfId="0" applyFont="1" applyFill="1" applyBorder="1" applyProtection="1">
      <protection hidden="1"/>
    </xf>
    <xf numFmtId="0" fontId="3" fillId="2" borderId="6" xfId="0" applyFont="1" applyFill="1" applyBorder="1" applyProtection="1">
      <protection hidden="1"/>
    </xf>
    <xf numFmtId="0" fontId="10" fillId="2" borderId="7" xfId="0" applyFont="1" applyFill="1" applyBorder="1" applyProtection="1">
      <protection hidden="1"/>
    </xf>
    <xf numFmtId="0" fontId="3" fillId="2" borderId="8" xfId="0" applyFont="1" applyFill="1" applyBorder="1" applyProtection="1">
      <protection hidden="1"/>
    </xf>
    <xf numFmtId="0" fontId="10" fillId="2" borderId="9" xfId="0" applyFont="1" applyFill="1" applyBorder="1" applyProtection="1">
      <protection hidden="1"/>
    </xf>
    <xf numFmtId="0" fontId="3" fillId="2" borderId="10" xfId="0" applyFont="1" applyFill="1" applyBorder="1" applyProtection="1">
      <protection hidden="1"/>
    </xf>
    <xf numFmtId="0" fontId="8" fillId="13" borderId="11" xfId="0" applyFont="1" applyFill="1" applyBorder="1" applyAlignment="1" applyProtection="1">
      <alignment horizontal="left" vertical="center"/>
      <protection hidden="1"/>
    </xf>
    <xf numFmtId="0" fontId="10" fillId="13" borderId="12" xfId="0" applyFont="1" applyFill="1" applyBorder="1" applyAlignment="1" applyProtection="1">
      <alignment horizontal="left" vertical="center"/>
      <protection hidden="1"/>
    </xf>
    <xf numFmtId="4" fontId="8" fillId="13" borderId="12" xfId="0" applyNumberFormat="1" applyFont="1" applyFill="1" applyBorder="1" applyAlignment="1" applyProtection="1">
      <alignment horizontal="left" vertical="center"/>
      <protection hidden="1"/>
    </xf>
    <xf numFmtId="4" fontId="8" fillId="13" borderId="13" xfId="0" applyNumberFormat="1" applyFont="1" applyFill="1" applyBorder="1" applyAlignment="1" applyProtection="1">
      <alignment horizontal="left" vertical="center"/>
      <protection hidden="1"/>
    </xf>
    <xf numFmtId="0" fontId="8" fillId="13" borderId="1" xfId="0" applyFont="1" applyFill="1" applyBorder="1" applyAlignment="1">
      <alignment horizontal="left" vertical="center" wrapText="1"/>
    </xf>
    <xf numFmtId="2" fontId="10" fillId="2" borderId="6" xfId="0" applyNumberFormat="1" applyFont="1" applyFill="1" applyBorder="1" applyAlignment="1" applyProtection="1">
      <alignment horizontal="left"/>
      <protection hidden="1"/>
    </xf>
    <xf numFmtId="165" fontId="10" fillId="2" borderId="6" xfId="0" applyNumberFormat="1" applyFont="1" applyFill="1" applyBorder="1" applyAlignment="1" applyProtection="1">
      <alignment horizontal="left"/>
      <protection hidden="1"/>
    </xf>
    <xf numFmtId="4" fontId="10" fillId="2" borderId="6" xfId="0" applyNumberFormat="1" applyFont="1" applyFill="1" applyBorder="1" applyAlignment="1" applyProtection="1">
      <alignment horizontal="left"/>
      <protection hidden="1"/>
    </xf>
    <xf numFmtId="10" fontId="10" fillId="2" borderId="6" xfId="0" applyNumberFormat="1" applyFont="1" applyFill="1" applyBorder="1" applyAlignment="1" applyProtection="1">
      <alignment horizontal="left"/>
      <protection hidden="1"/>
    </xf>
    <xf numFmtId="4" fontId="8" fillId="2" borderId="14" xfId="0" applyNumberFormat="1" applyFont="1" applyFill="1" applyBorder="1" applyAlignment="1" applyProtection="1">
      <alignment horizontal="left"/>
      <protection hidden="1"/>
    </xf>
    <xf numFmtId="0" fontId="10" fillId="2" borderId="8" xfId="0" applyFont="1" applyFill="1" applyBorder="1" applyAlignment="1" applyProtection="1">
      <alignment horizontal="left"/>
      <protection hidden="1"/>
    </xf>
    <xf numFmtId="165" fontId="10" fillId="2" borderId="8" xfId="0" applyNumberFormat="1" applyFont="1" applyFill="1" applyBorder="1" applyAlignment="1" applyProtection="1">
      <alignment horizontal="left"/>
      <protection hidden="1"/>
    </xf>
    <xf numFmtId="4" fontId="10" fillId="2" borderId="8" xfId="0" applyNumberFormat="1" applyFont="1" applyFill="1" applyBorder="1" applyAlignment="1" applyProtection="1">
      <alignment horizontal="left"/>
      <protection hidden="1"/>
    </xf>
    <xf numFmtId="10" fontId="10" fillId="2" borderId="8" xfId="0" applyNumberFormat="1" applyFont="1" applyFill="1" applyBorder="1" applyAlignment="1" applyProtection="1">
      <alignment horizontal="left"/>
      <protection hidden="1"/>
    </xf>
    <xf numFmtId="4" fontId="8" fillId="2" borderId="15" xfId="0" applyNumberFormat="1" applyFont="1" applyFill="1" applyBorder="1" applyAlignment="1" applyProtection="1">
      <alignment horizontal="left"/>
      <protection hidden="1"/>
    </xf>
    <xf numFmtId="2" fontId="10" fillId="2" borderId="10" xfId="0" applyNumberFormat="1" applyFont="1" applyFill="1" applyBorder="1" applyAlignment="1" applyProtection="1">
      <alignment horizontal="left"/>
      <protection hidden="1"/>
    </xf>
    <xf numFmtId="165" fontId="10" fillId="2" borderId="10" xfId="0" applyNumberFormat="1" applyFont="1" applyFill="1" applyBorder="1" applyAlignment="1" applyProtection="1">
      <alignment horizontal="left"/>
      <protection hidden="1"/>
    </xf>
    <xf numFmtId="4" fontId="10" fillId="2" borderId="10" xfId="0" applyNumberFormat="1" applyFont="1" applyFill="1" applyBorder="1" applyAlignment="1" applyProtection="1">
      <alignment horizontal="left"/>
      <protection hidden="1"/>
    </xf>
    <xf numFmtId="10" fontId="10" fillId="2" borderId="10" xfId="0" applyNumberFormat="1" applyFont="1" applyFill="1" applyBorder="1" applyAlignment="1" applyProtection="1">
      <alignment horizontal="left"/>
      <protection hidden="1"/>
    </xf>
    <xf numFmtId="4" fontId="8" fillId="2" borderId="16" xfId="0" applyNumberFormat="1" applyFont="1" applyFill="1" applyBorder="1" applyAlignment="1" applyProtection="1">
      <alignment horizontal="left"/>
      <protection hidden="1"/>
    </xf>
    <xf numFmtId="0" fontId="10" fillId="2" borderId="6" xfId="0" applyFont="1" applyFill="1" applyBorder="1" applyAlignment="1" applyProtection="1">
      <alignment horizontal="left"/>
      <protection hidden="1"/>
    </xf>
    <xf numFmtId="4" fontId="3" fillId="2" borderId="0" xfId="0" applyNumberFormat="1" applyFont="1" applyFill="1" applyProtection="1">
      <protection hidden="1"/>
    </xf>
    <xf numFmtId="0" fontId="3" fillId="14" borderId="0" xfId="0" applyFont="1" applyFill="1" applyProtection="1">
      <protection hidden="1"/>
    </xf>
    <xf numFmtId="164" fontId="3" fillId="14" borderId="0" xfId="0" applyNumberFormat="1" applyFont="1" applyFill="1" applyProtection="1">
      <protection hidden="1"/>
    </xf>
    <xf numFmtId="0" fontId="3" fillId="7" borderId="0" xfId="0" applyFont="1" applyFill="1" applyProtection="1">
      <protection hidden="1"/>
    </xf>
    <xf numFmtId="164" fontId="3" fillId="7" borderId="0" xfId="0" applyNumberFormat="1" applyFont="1" applyFill="1" applyProtection="1">
      <protection hidden="1"/>
    </xf>
    <xf numFmtId="0" fontId="3" fillId="8" borderId="0" xfId="0" applyFont="1" applyFill="1" applyProtection="1">
      <protection hidden="1"/>
    </xf>
    <xf numFmtId="0" fontId="3" fillId="15" borderId="0" xfId="0" applyFont="1" applyFill="1" applyProtection="1">
      <protection hidden="1"/>
    </xf>
    <xf numFmtId="0" fontId="8" fillId="13" borderId="17" xfId="0" applyFont="1" applyFill="1" applyBorder="1" applyAlignment="1" applyProtection="1">
      <alignment horizontal="left"/>
      <protection hidden="1"/>
    </xf>
    <xf numFmtId="0" fontId="8" fillId="13" borderId="18" xfId="0" applyFont="1" applyFill="1" applyBorder="1" applyAlignment="1" applyProtection="1">
      <alignment horizontal="left"/>
      <protection hidden="1"/>
    </xf>
    <xf numFmtId="0" fontId="8" fillId="13" borderId="19" xfId="0" applyFont="1" applyFill="1" applyBorder="1" applyAlignment="1" applyProtection="1">
      <alignment horizontal="left"/>
      <protection hidden="1"/>
    </xf>
    <xf numFmtId="0" fontId="8" fillId="11" borderId="17" xfId="0" applyFont="1" applyFill="1" applyBorder="1" applyAlignment="1" applyProtection="1">
      <alignment horizontal="left"/>
      <protection hidden="1"/>
    </xf>
    <xf numFmtId="0" fontId="8" fillId="11" borderId="18" xfId="0" applyFont="1" applyFill="1" applyBorder="1" applyAlignment="1" applyProtection="1">
      <alignment horizontal="left"/>
      <protection hidden="1"/>
    </xf>
    <xf numFmtId="0" fontId="8" fillId="11" borderId="20" xfId="0" applyFont="1" applyFill="1" applyBorder="1" applyAlignment="1" applyProtection="1">
      <alignment horizontal="left"/>
      <protection hidden="1"/>
    </xf>
    <xf numFmtId="0" fontId="7" fillId="2" borderId="0" xfId="0" applyFont="1" applyFill="1" applyAlignment="1">
      <alignment horizontal="left"/>
    </xf>
    <xf numFmtId="0" fontId="5" fillId="2" borderId="0" xfId="0" applyFont="1" applyFill="1" applyAlignment="1" applyProtection="1">
      <alignment horizontal="left"/>
      <protection hidden="1"/>
    </xf>
    <xf numFmtId="0" fontId="8" fillId="16" borderId="17" xfId="0" applyFont="1" applyFill="1" applyBorder="1" applyAlignment="1" applyProtection="1">
      <alignment horizontal="left"/>
      <protection hidden="1"/>
    </xf>
    <xf numFmtId="0" fontId="8" fillId="16" borderId="18" xfId="0" applyFont="1" applyFill="1" applyBorder="1" applyAlignment="1" applyProtection="1">
      <alignment horizontal="left"/>
      <protection hidden="1"/>
    </xf>
    <xf numFmtId="0" fontId="8" fillId="16" borderId="20" xfId="0" applyFont="1" applyFill="1" applyBorder="1" applyAlignment="1" applyProtection="1">
      <alignment horizontal="left"/>
      <protection hidden="1"/>
    </xf>
    <xf numFmtId="2" fontId="3" fillId="2" borderId="0" xfId="0" applyNumberFormat="1" applyFont="1" applyFill="1" applyProtection="1">
      <protection hidden="1"/>
    </xf>
    <xf numFmtId="0" fontId="10" fillId="2" borderId="21" xfId="0" applyFont="1" applyFill="1" applyBorder="1" applyProtection="1">
      <protection hidden="1"/>
    </xf>
    <xf numFmtId="0" fontId="3" fillId="2" borderId="22" xfId="0" applyFont="1" applyFill="1" applyBorder="1" applyProtection="1">
      <protection hidden="1"/>
    </xf>
    <xf numFmtId="165" fontId="10" fillId="2" borderId="22" xfId="0" applyNumberFormat="1" applyFont="1" applyFill="1" applyBorder="1" applyAlignment="1" applyProtection="1">
      <alignment horizontal="left"/>
      <protection hidden="1"/>
    </xf>
    <xf numFmtId="4" fontId="10" fillId="2" borderId="22" xfId="0" applyNumberFormat="1" applyFont="1" applyFill="1" applyBorder="1" applyAlignment="1" applyProtection="1">
      <alignment horizontal="left"/>
      <protection hidden="1"/>
    </xf>
    <xf numFmtId="10" fontId="10" fillId="2" borderId="22" xfId="0" applyNumberFormat="1" applyFont="1" applyFill="1" applyBorder="1" applyAlignment="1" applyProtection="1">
      <alignment horizontal="left"/>
      <protection hidden="1"/>
    </xf>
    <xf numFmtId="4" fontId="8" fillId="2" borderId="23" xfId="0" applyNumberFormat="1" applyFont="1" applyFill="1" applyBorder="1" applyAlignment="1" applyProtection="1">
      <alignment horizontal="left"/>
      <protection hidden="1"/>
    </xf>
    <xf numFmtId="165" fontId="3" fillId="9" borderId="0" xfId="0" applyNumberFormat="1" applyFont="1" applyFill="1" applyProtection="1">
      <protection hidden="1"/>
    </xf>
    <xf numFmtId="2" fontId="10" fillId="2" borderId="22" xfId="0" applyNumberFormat="1" applyFont="1" applyFill="1" applyBorder="1" applyAlignment="1" applyProtection="1">
      <alignment horizontal="left"/>
      <protection hidden="1"/>
    </xf>
    <xf numFmtId="0" fontId="3" fillId="17" borderId="0" xfId="0" applyFont="1" applyFill="1" applyProtection="1">
      <protection hidden="1"/>
    </xf>
    <xf numFmtId="164" fontId="3" fillId="17" borderId="0" xfId="0" applyNumberFormat="1" applyFont="1" applyFill="1" applyProtection="1">
      <protection hidden="1"/>
    </xf>
    <xf numFmtId="0" fontId="3" fillId="18" borderId="0" xfId="0" applyFont="1" applyFill="1" applyProtection="1">
      <protection hidden="1"/>
    </xf>
    <xf numFmtId="164" fontId="3" fillId="18" borderId="0" xfId="0" applyNumberFormat="1" applyFont="1" applyFill="1" applyProtection="1">
      <protection hidden="1"/>
    </xf>
    <xf numFmtId="164" fontId="10" fillId="2" borderId="22" xfId="0" applyNumberFormat="1" applyFont="1" applyFill="1" applyBorder="1" applyAlignment="1" applyProtection="1">
      <alignment horizontal="left"/>
      <protection hidden="1"/>
    </xf>
    <xf numFmtId="0" fontId="10" fillId="2" borderId="2" xfId="0" applyFont="1" applyFill="1" applyBorder="1" applyProtection="1">
      <protection hidden="1"/>
    </xf>
    <xf numFmtId="0" fontId="3" fillId="2" borderId="3" xfId="0" applyFont="1" applyFill="1" applyBorder="1" applyProtection="1">
      <protection hidden="1"/>
    </xf>
    <xf numFmtId="2" fontId="10" fillId="2" borderId="3" xfId="0" applyNumberFormat="1" applyFont="1" applyFill="1" applyBorder="1" applyAlignment="1" applyProtection="1">
      <alignment horizontal="left"/>
      <protection hidden="1"/>
    </xf>
    <xf numFmtId="165" fontId="10" fillId="2" borderId="3" xfId="0" applyNumberFormat="1" applyFont="1" applyFill="1" applyBorder="1" applyAlignment="1" applyProtection="1">
      <alignment horizontal="left"/>
      <protection hidden="1"/>
    </xf>
    <xf numFmtId="4" fontId="10" fillId="2" borderId="3" xfId="0" applyNumberFormat="1" applyFont="1" applyFill="1" applyBorder="1" applyAlignment="1" applyProtection="1">
      <alignment horizontal="left"/>
      <protection hidden="1"/>
    </xf>
    <xf numFmtId="10" fontId="10" fillId="2" borderId="3" xfId="0" applyNumberFormat="1" applyFont="1" applyFill="1" applyBorder="1" applyAlignment="1" applyProtection="1">
      <alignment horizontal="left"/>
      <protection hidden="1"/>
    </xf>
    <xf numFmtId="4" fontId="8" fillId="2" borderId="4" xfId="0" applyNumberFormat="1" applyFont="1" applyFill="1" applyBorder="1" applyAlignment="1" applyProtection="1">
      <alignment horizontal="left"/>
      <protection hidden="1"/>
    </xf>
    <xf numFmtId="0" fontId="8" fillId="13" borderId="20" xfId="0" applyFont="1" applyFill="1" applyBorder="1" applyAlignment="1" applyProtection="1">
      <alignment horizontal="left"/>
      <protection hidden="1"/>
    </xf>
    <xf numFmtId="164" fontId="3" fillId="19" borderId="0" xfId="0" applyNumberFormat="1" applyFont="1" applyFill="1" applyProtection="1">
      <protection hidden="1"/>
    </xf>
    <xf numFmtId="0" fontId="3" fillId="19" borderId="0" xfId="0" applyFont="1" applyFill="1" applyProtection="1">
      <protection hidden="1"/>
    </xf>
    <xf numFmtId="164" fontId="3" fillId="19" borderId="0" xfId="0" applyNumberFormat="1" applyFont="1" applyFill="1" applyAlignment="1" applyProtection="1">
      <alignment horizontal="right"/>
      <protection hidden="1"/>
    </xf>
    <xf numFmtId="2" fontId="14" fillId="19" borderId="24" xfId="0" applyNumberFormat="1" applyFont="1" applyFill="1" applyBorder="1" applyAlignment="1">
      <alignment horizontal="center"/>
    </xf>
    <xf numFmtId="2" fontId="0" fillId="20" borderId="25" xfId="0" applyNumberFormat="1" applyFill="1" applyBorder="1"/>
    <xf numFmtId="0" fontId="0" fillId="20" borderId="25" xfId="0" applyFill="1" applyBorder="1"/>
  </cellXfs>
  <cellStyles count="1">
    <cellStyle name="Navadno" xfId="0" builtinId="0"/>
  </cellStyles>
  <dxfs count="6">
    <dxf>
      <font>
        <color theme="0"/>
      </font>
    </dxf>
    <dxf>
      <font>
        <color theme="0"/>
        <name val="Cambria"/>
        <scheme val="none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lor theme="0"/>
      </font>
    </dxf>
    <dxf>
      <font>
        <condense val="0"/>
        <extend val="0"/>
        <color indexed="9"/>
      </font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AC43"/>
  <sheetViews>
    <sheetView tabSelected="1" topLeftCell="A7" workbookViewId="0">
      <selection activeCell="C10" sqref="C10"/>
    </sheetView>
  </sheetViews>
  <sheetFormatPr defaultColWidth="9.33203125" defaultRowHeight="15.75" x14ac:dyDescent="0.25"/>
  <cols>
    <col min="1" max="1" width="3.83203125" style="1" customWidth="1"/>
    <col min="2" max="2" width="47.83203125" style="1" customWidth="1"/>
    <col min="3" max="3" width="18.83203125" style="1" customWidth="1"/>
    <col min="4" max="4" width="10.83203125" style="1" customWidth="1"/>
    <col min="5" max="5" width="18.83203125" style="1" customWidth="1"/>
    <col min="6" max="6" width="10.83203125" style="1" customWidth="1"/>
    <col min="7" max="7" width="21.83203125" style="1" customWidth="1"/>
    <col min="8" max="8" width="10.83203125" style="1" customWidth="1"/>
    <col min="9" max="9" width="18.83203125" style="2" customWidth="1"/>
    <col min="10" max="10" width="9.33203125" style="2" hidden="1" customWidth="1"/>
    <col min="11" max="11" width="14.5" style="2" hidden="1" customWidth="1"/>
    <col min="12" max="12" width="9.33203125" style="2" hidden="1" customWidth="1"/>
    <col min="13" max="13" width="15.6640625" style="2" hidden="1" customWidth="1"/>
    <col min="14" max="14" width="9.6640625" style="2" hidden="1" customWidth="1"/>
    <col min="15" max="15" width="13.6640625" style="2" hidden="1" customWidth="1"/>
    <col min="16" max="17" width="8.33203125" style="2" hidden="1" customWidth="1"/>
    <col min="18" max="18" width="20.5" style="2" hidden="1" customWidth="1"/>
    <col min="19" max="19" width="9.33203125" style="2" hidden="1" customWidth="1"/>
    <col min="20" max="20" width="9.33203125" style="1" hidden="1" customWidth="1"/>
    <col min="21" max="21" width="11" style="1" hidden="1" customWidth="1"/>
    <col min="22" max="23" width="10.5" style="1" hidden="1" customWidth="1"/>
    <col min="24" max="28" width="9.33203125" style="1" hidden="1" customWidth="1"/>
    <col min="29" max="30" width="9.33203125" style="1" customWidth="1"/>
    <col min="31" max="16384" width="9.33203125" style="1"/>
  </cols>
  <sheetData>
    <row r="1" spans="1:28" ht="26.25" x14ac:dyDescent="0.4">
      <c r="B1" s="29" t="s">
        <v>101</v>
      </c>
      <c r="K1" s="2" t="s">
        <v>9</v>
      </c>
      <c r="M1" s="3"/>
      <c r="N1" s="2" t="s">
        <v>11</v>
      </c>
      <c r="O1" s="2" t="s">
        <v>12</v>
      </c>
    </row>
    <row r="2" spans="1:28" x14ac:dyDescent="0.25">
      <c r="B2" s="31" t="s">
        <v>102</v>
      </c>
      <c r="M2" s="3"/>
      <c r="N2" s="2" t="s">
        <v>10</v>
      </c>
      <c r="O2" s="2" t="s">
        <v>10</v>
      </c>
      <c r="R2" s="3"/>
      <c r="S2" s="3"/>
      <c r="T2" s="2"/>
      <c r="U2" s="2"/>
      <c r="V2" s="2"/>
      <c r="W2" s="2"/>
      <c r="X2" s="2"/>
    </row>
    <row r="3" spans="1:28" x14ac:dyDescent="0.25">
      <c r="B3" s="30"/>
      <c r="M3" s="3"/>
      <c r="R3" s="3"/>
      <c r="S3" s="3"/>
      <c r="T3" s="2"/>
      <c r="U3" s="2"/>
      <c r="V3" s="2"/>
      <c r="W3" s="2"/>
      <c r="X3" s="2"/>
    </row>
    <row r="4" spans="1:28" x14ac:dyDescent="0.25">
      <c r="B4" s="30" t="s">
        <v>80</v>
      </c>
      <c r="P4" s="5" t="s">
        <v>88</v>
      </c>
      <c r="Q4" s="5"/>
    </row>
    <row r="5" spans="1:28" x14ac:dyDescent="0.25">
      <c r="B5" s="4"/>
      <c r="C5" s="4"/>
      <c r="K5" s="2" t="s">
        <v>40</v>
      </c>
      <c r="P5" s="5" t="s">
        <v>1</v>
      </c>
      <c r="Q5" s="5" t="s">
        <v>59</v>
      </c>
      <c r="R5" s="5" t="s">
        <v>60</v>
      </c>
      <c r="S5" s="5" t="s">
        <v>90</v>
      </c>
      <c r="T5" s="5" t="s">
        <v>91</v>
      </c>
      <c r="U5" s="5" t="s">
        <v>92</v>
      </c>
      <c r="V5" s="5" t="s">
        <v>93</v>
      </c>
      <c r="W5" s="5" t="s">
        <v>65</v>
      </c>
      <c r="X5" s="5" t="s">
        <v>62</v>
      </c>
      <c r="Y5" s="5" t="s">
        <v>63</v>
      </c>
      <c r="Z5" s="6" t="s">
        <v>17</v>
      </c>
      <c r="AA5" s="6" t="s">
        <v>42</v>
      </c>
    </row>
    <row r="6" spans="1:28" ht="16.5" thickBot="1" x14ac:dyDescent="0.3">
      <c r="K6" s="2" t="s">
        <v>78</v>
      </c>
      <c r="L6" s="2">
        <v>1</v>
      </c>
      <c r="P6" s="5" t="s">
        <v>4</v>
      </c>
      <c r="Q6" s="7">
        <v>0.151</v>
      </c>
      <c r="R6" s="7">
        <v>2.7000000000000001E-3</v>
      </c>
      <c r="S6" s="7">
        <v>0.16009999999999999</v>
      </c>
      <c r="T6" s="7">
        <v>3.3099999999999997E-2</v>
      </c>
      <c r="U6" s="7">
        <v>0.1459</v>
      </c>
      <c r="V6" s="7">
        <v>3.95E-2</v>
      </c>
      <c r="W6" s="5"/>
      <c r="X6" s="93">
        <v>0.27810000000000001</v>
      </c>
      <c r="Y6" s="5" t="s">
        <v>64</v>
      </c>
      <c r="Z6" s="8"/>
      <c r="AA6" s="8"/>
      <c r="AB6" s="1">
        <v>3.5999999999999997E-2</v>
      </c>
    </row>
    <row r="7" spans="1:28" ht="16.5" thickBot="1" x14ac:dyDescent="0.3">
      <c r="B7" s="32" t="s">
        <v>1</v>
      </c>
      <c r="C7" s="37" t="s">
        <v>4</v>
      </c>
      <c r="D7" s="9"/>
      <c r="K7" s="2" t="s">
        <v>75</v>
      </c>
      <c r="L7" s="2">
        <v>0.5</v>
      </c>
      <c r="P7" s="5" t="s">
        <v>6</v>
      </c>
      <c r="Q7" s="7">
        <v>0.151</v>
      </c>
      <c r="R7" s="7">
        <v>2.7000000000000001E-3</v>
      </c>
      <c r="S7" s="7">
        <v>0.16009999999999999</v>
      </c>
      <c r="T7" s="7">
        <v>3.3099999999999997E-2</v>
      </c>
      <c r="U7" s="7">
        <v>0.1459</v>
      </c>
      <c r="V7" s="7">
        <v>3.95E-2</v>
      </c>
      <c r="W7" s="5"/>
      <c r="X7" s="93">
        <v>0.27810000000000001</v>
      </c>
      <c r="Y7" s="5" t="s">
        <v>64</v>
      </c>
      <c r="Z7" s="8"/>
      <c r="AA7" s="8"/>
    </row>
    <row r="8" spans="1:28" ht="16.5" thickBot="1" x14ac:dyDescent="0.3">
      <c r="B8" s="18"/>
      <c r="D8" s="9"/>
      <c r="G8" s="11"/>
      <c r="K8" s="2" t="s">
        <v>74</v>
      </c>
      <c r="L8" s="2">
        <v>0.33329999999999999</v>
      </c>
      <c r="O8" s="2">
        <v>0.67830000000000001</v>
      </c>
      <c r="P8" s="5" t="s">
        <v>8</v>
      </c>
      <c r="Q8" s="7">
        <v>0.151</v>
      </c>
      <c r="R8" s="7">
        <v>2.7000000000000001E-3</v>
      </c>
      <c r="S8" s="7">
        <v>0.16009999999999999</v>
      </c>
      <c r="T8" s="7">
        <v>3.3099999999999997E-2</v>
      </c>
      <c r="U8" s="7">
        <v>0.1459</v>
      </c>
      <c r="V8" s="7">
        <v>3.95E-2</v>
      </c>
      <c r="W8" s="5"/>
      <c r="X8" s="93">
        <v>0.27810000000000001</v>
      </c>
      <c r="Y8" s="5" t="s">
        <v>64</v>
      </c>
      <c r="Z8" s="8"/>
      <c r="AA8" s="8"/>
    </row>
    <row r="9" spans="1:28" ht="27" customHeight="1" thickBot="1" x14ac:dyDescent="0.3">
      <c r="A9" s="12"/>
      <c r="B9" s="33"/>
      <c r="C9" s="51"/>
      <c r="D9" s="34"/>
      <c r="E9" s="35" t="s">
        <v>82</v>
      </c>
      <c r="F9" s="34"/>
      <c r="G9" s="36" t="s">
        <v>83</v>
      </c>
      <c r="Z9" s="8"/>
      <c r="AA9" s="8"/>
    </row>
    <row r="10" spans="1:28" ht="15.75" customHeight="1" thickBot="1" x14ac:dyDescent="0.3">
      <c r="A10" s="12"/>
      <c r="B10" s="32" t="s">
        <v>0</v>
      </c>
      <c r="C10" s="75"/>
      <c r="D10" s="81"/>
      <c r="E10" s="26"/>
      <c r="F10" s="81"/>
      <c r="G10" s="26"/>
      <c r="H10" s="12"/>
      <c r="I10" s="12"/>
      <c r="J10" s="12"/>
      <c r="K10" s="2" t="s">
        <v>78</v>
      </c>
      <c r="Q10" s="10"/>
      <c r="R10" s="10"/>
      <c r="S10" s="6"/>
      <c r="T10" s="6"/>
      <c r="U10" s="6"/>
      <c r="V10" s="8"/>
      <c r="W10" s="8"/>
    </row>
    <row r="11" spans="1:28" x14ac:dyDescent="0.25">
      <c r="B11" s="32" t="s">
        <v>39</v>
      </c>
      <c r="C11" s="76"/>
      <c r="D11" s="82"/>
      <c r="E11" s="78"/>
      <c r="F11" s="26"/>
      <c r="G11" s="83"/>
      <c r="H11" s="12"/>
      <c r="K11" s="2" t="s">
        <v>74</v>
      </c>
      <c r="P11" s="13" t="s">
        <v>89</v>
      </c>
      <c r="Q11" s="13"/>
      <c r="R11" s="10"/>
      <c r="S11" s="6"/>
      <c r="T11" s="6"/>
      <c r="U11" s="6"/>
      <c r="V11" s="8"/>
      <c r="W11" s="8"/>
    </row>
    <row r="12" spans="1:28" ht="15.75" customHeight="1" x14ac:dyDescent="0.25">
      <c r="B12" s="32" t="s">
        <v>77</v>
      </c>
      <c r="C12" s="76"/>
      <c r="D12" s="82"/>
      <c r="E12" s="79"/>
      <c r="F12" s="26"/>
      <c r="G12" s="84"/>
      <c r="H12" s="12"/>
      <c r="M12" s="13" t="s">
        <v>1</v>
      </c>
      <c r="N12" s="13" t="s">
        <v>66</v>
      </c>
      <c r="P12" s="13" t="s">
        <v>1</v>
      </c>
      <c r="Q12" s="13" t="s">
        <v>59</v>
      </c>
      <c r="R12" s="13" t="s">
        <v>60</v>
      </c>
      <c r="S12" s="13" t="s">
        <v>90</v>
      </c>
      <c r="T12" s="13" t="s">
        <v>91</v>
      </c>
      <c r="U12" s="13" t="s">
        <v>92</v>
      </c>
      <c r="V12" s="13" t="s">
        <v>93</v>
      </c>
      <c r="W12" s="13" t="s">
        <v>65</v>
      </c>
      <c r="X12" s="13" t="s">
        <v>62</v>
      </c>
      <c r="Y12" s="13" t="s">
        <v>63</v>
      </c>
      <c r="Z12" s="6" t="s">
        <v>17</v>
      </c>
      <c r="AA12" s="6" t="s">
        <v>42</v>
      </c>
    </row>
    <row r="13" spans="1:28" ht="15.75" customHeight="1" thickBot="1" x14ac:dyDescent="0.3">
      <c r="B13" s="32" t="s">
        <v>41</v>
      </c>
      <c r="C13" s="77"/>
      <c r="D13" s="82"/>
      <c r="E13" s="80"/>
      <c r="F13" s="26"/>
      <c r="G13" s="85"/>
      <c r="H13" s="12"/>
      <c r="M13" s="13" t="s">
        <v>4</v>
      </c>
      <c r="N13" s="14">
        <v>15.28</v>
      </c>
      <c r="P13" s="13" t="s">
        <v>4</v>
      </c>
      <c r="Q13" s="15">
        <v>0.29630000000000001</v>
      </c>
      <c r="R13" s="15">
        <v>0.29630000000000001</v>
      </c>
      <c r="S13" s="15">
        <v>0.1053</v>
      </c>
      <c r="T13" s="15">
        <v>0.1053</v>
      </c>
      <c r="U13" s="15">
        <v>1.9699999999999999E-2</v>
      </c>
      <c r="V13" s="15">
        <v>1.9699999999999999E-2</v>
      </c>
      <c r="W13" s="13"/>
      <c r="X13" s="13">
        <v>0.15040000000000001</v>
      </c>
      <c r="Y13" s="13" t="s">
        <v>64</v>
      </c>
      <c r="Z13" s="8"/>
      <c r="AA13" s="8"/>
    </row>
    <row r="14" spans="1:28" ht="15.75" customHeight="1" x14ac:dyDescent="0.25">
      <c r="D14" s="9"/>
      <c r="F14" s="16"/>
      <c r="H14" s="17"/>
      <c r="M14" s="13" t="s">
        <v>6</v>
      </c>
      <c r="N14" s="14">
        <v>15.28</v>
      </c>
      <c r="P14" s="13" t="s">
        <v>6</v>
      </c>
      <c r="Q14" s="15">
        <v>0.29630000000000001</v>
      </c>
      <c r="R14" s="15">
        <v>0.29630000000000001</v>
      </c>
      <c r="S14" s="15">
        <v>0.1053</v>
      </c>
      <c r="T14" s="15">
        <v>0.1053</v>
      </c>
      <c r="U14" s="15">
        <v>1.9699999999999999E-2</v>
      </c>
      <c r="V14" s="15">
        <v>1.9699999999999999E-2</v>
      </c>
      <c r="W14" s="13"/>
      <c r="X14" s="13">
        <v>0.15040000000000001</v>
      </c>
      <c r="Y14" s="13" t="s">
        <v>64</v>
      </c>
      <c r="Z14" s="8"/>
      <c r="AA14" s="8"/>
    </row>
    <row r="15" spans="1:28" x14ac:dyDescent="0.25">
      <c r="B15" s="9"/>
      <c r="M15" s="13" t="s">
        <v>8</v>
      </c>
      <c r="N15" s="14">
        <v>15.28</v>
      </c>
      <c r="P15" s="13" t="s">
        <v>8</v>
      </c>
      <c r="Q15" s="15">
        <v>0.29630000000000001</v>
      </c>
      <c r="R15" s="15">
        <v>0.29630000000000001</v>
      </c>
      <c r="S15" s="15">
        <v>0.1053</v>
      </c>
      <c r="T15" s="15">
        <v>0.1053</v>
      </c>
      <c r="U15" s="15">
        <v>1.9699999999999999E-2</v>
      </c>
      <c r="V15" s="15">
        <v>1.9699999999999999E-2</v>
      </c>
      <c r="W15" s="13"/>
      <c r="X15" s="13">
        <v>0.15040000000000001</v>
      </c>
      <c r="Y15" s="13" t="s">
        <v>64</v>
      </c>
      <c r="Z15" s="8"/>
      <c r="AA15" s="8"/>
    </row>
    <row r="16" spans="1:28" ht="16.5" thickBot="1" x14ac:dyDescent="0.3">
      <c r="I16" s="1"/>
      <c r="J16" s="1"/>
      <c r="Z16" s="8"/>
      <c r="AA16" s="8"/>
    </row>
    <row r="17" spans="2:26" ht="16.5" thickBot="1" x14ac:dyDescent="0.3">
      <c r="B17" s="38" t="str">
        <f>IF(C7&lt;&gt;"","Občina "&amp;C7&amp;" - gospodinjstvo","")</f>
        <v>Občina MOK - gospodinjstvo</v>
      </c>
      <c r="C17" s="39" t="s">
        <v>87</v>
      </c>
      <c r="D17" s="39" t="s">
        <v>3</v>
      </c>
      <c r="E17" s="39" t="s">
        <v>86</v>
      </c>
      <c r="F17" s="39" t="s">
        <v>67</v>
      </c>
      <c r="G17" s="39" t="s">
        <v>85</v>
      </c>
      <c r="H17" s="39" t="s">
        <v>49</v>
      </c>
      <c r="I17" s="40" t="s">
        <v>13</v>
      </c>
      <c r="J17" s="1"/>
      <c r="M17" s="6"/>
      <c r="N17" s="10"/>
      <c r="Q17" s="10"/>
      <c r="R17" s="10"/>
      <c r="S17" s="6"/>
      <c r="T17" s="6"/>
      <c r="U17" s="6"/>
      <c r="V17" s="8"/>
      <c r="W17" s="8"/>
    </row>
    <row r="18" spans="2:26" x14ac:dyDescent="0.25">
      <c r="B18" s="41" t="str">
        <f>"Zbiranje kom. odpadkov - storitev  ("&amp;IF($C$10&lt;&gt;"",C10&amp;" Osebe",0)&amp;")"</f>
        <v>Zbiranje kom. odpadkov - storitev  (0)</v>
      </c>
      <c r="C18" s="42" t="s">
        <v>84</v>
      </c>
      <c r="D18" s="52">
        <f>IF(C10&lt;&gt;"",C10*VLOOKUP($C$7,$M$13:$N$15,2,FALSE),0)</f>
        <v>0</v>
      </c>
      <c r="E18" s="53">
        <f>IF($C$10&lt;&gt;"",VLOOKUP($C$7,$P$6:$Q$11,2,FALSE),0)</f>
        <v>0</v>
      </c>
      <c r="F18" s="54"/>
      <c r="G18" s="54">
        <f>ROUND(E18*D18,2)</f>
        <v>0</v>
      </c>
      <c r="H18" s="55">
        <f t="shared" ref="H18:H23" si="0">IF(G18&lt;&gt;0,0.095,0)</f>
        <v>0</v>
      </c>
      <c r="I18" s="56">
        <f t="shared" ref="I18:I23" si="1">ROUND(G18*1.095,2)</f>
        <v>0</v>
      </c>
      <c r="J18" s="1"/>
      <c r="M18" s="6"/>
      <c r="N18" s="10"/>
      <c r="P18" s="6"/>
      <c r="Q18" s="10"/>
      <c r="R18" s="10"/>
      <c r="S18" s="6"/>
      <c r="T18" s="6"/>
      <c r="U18" s="6"/>
      <c r="V18" s="8"/>
      <c r="W18" s="8"/>
    </row>
    <row r="19" spans="2:26" ht="15" customHeight="1" x14ac:dyDescent="0.25">
      <c r="B19" s="43" t="str">
        <f>"Zbiranje kom. odpadkov - infrastruktura  ("&amp;IF($C$10&lt;&gt;"",C10&amp;" Osebe",0)&amp;")"</f>
        <v>Zbiranje kom. odpadkov - infrastruktura  (0)</v>
      </c>
      <c r="C19" s="44" t="s">
        <v>84</v>
      </c>
      <c r="D19" s="57">
        <f>IF(C10&lt;&gt;"",C10*VLOOKUP($C$7,$M$13:$N$15,2,FALSE),0)</f>
        <v>0</v>
      </c>
      <c r="E19" s="58">
        <f>IF($C$10&lt;&gt;"",VLOOKUP($C$7,$P$6:$R$11,3,FALSE),0)</f>
        <v>0</v>
      </c>
      <c r="F19" s="59"/>
      <c r="G19" s="59">
        <f>ROUND(E19*D19,2)</f>
        <v>0</v>
      </c>
      <c r="H19" s="60">
        <f t="shared" si="0"/>
        <v>0</v>
      </c>
      <c r="I19" s="61">
        <f t="shared" si="1"/>
        <v>0</v>
      </c>
      <c r="J19" s="1"/>
      <c r="S19" s="3"/>
      <c r="T19" s="3"/>
      <c r="U19" s="2"/>
      <c r="V19" s="2"/>
      <c r="W19" s="2"/>
      <c r="X19" s="2"/>
      <c r="Y19" s="2">
        <v>0</v>
      </c>
      <c r="Z19" s="2"/>
    </row>
    <row r="20" spans="2:26" x14ac:dyDescent="0.25">
      <c r="B20" s="87" t="str">
        <f>"Obdelava kom. odpadkov - storitev  ("&amp;IF($C$10&lt;&gt;"",C11/C13&amp;" l",0)&amp;")"</f>
        <v>Obdelava kom. odpadkov - storitev  (0)</v>
      </c>
      <c r="C20" s="88" t="s">
        <v>84</v>
      </c>
      <c r="D20" s="94">
        <f>IF($C$11&lt;&gt;"",$C$11*4.3*VLOOKUP($C$7,$P$13:$W$15,4,FALSE)/$C$13,0)</f>
        <v>0</v>
      </c>
      <c r="E20" s="89">
        <f>IF($C$11&lt;&gt;"",VLOOKUP($C$7,$P$6:$W$10,4,FALSE),0)</f>
        <v>0</v>
      </c>
      <c r="F20" s="99">
        <f>IF($D$20&lt;&gt;0,VLOOKUP($C$12,$K$6:$L$8,2,FALSE),0)</f>
        <v>0</v>
      </c>
      <c r="G20" s="90">
        <f>ROUND(E20*D20*F20,2)</f>
        <v>0</v>
      </c>
      <c r="H20" s="91">
        <f t="shared" si="0"/>
        <v>0</v>
      </c>
      <c r="I20" s="92">
        <f t="shared" si="1"/>
        <v>0</v>
      </c>
      <c r="J20" s="1"/>
      <c r="T20" s="2"/>
      <c r="Y20" s="2">
        <v>1</v>
      </c>
      <c r="Z20" s="2"/>
    </row>
    <row r="21" spans="2:26" x14ac:dyDescent="0.25">
      <c r="B21" s="87" t="str">
        <f>"Obdelava kom. odpadkov - infrastruktura  ("&amp;IF($C$10&lt;&gt;"",C11/C13&amp;" l",0)&amp;")"</f>
        <v>Obdelava kom. odpadkov - infrastruktura  (0)</v>
      </c>
      <c r="C21" s="88" t="s">
        <v>84</v>
      </c>
      <c r="D21" s="94">
        <f>IF($C$11&lt;&gt;"",$C$11*4.3*VLOOKUP($C$7,$P$13:$W$15,5,FALSE)/$C$13,0)</f>
        <v>0</v>
      </c>
      <c r="E21" s="89">
        <f>IF($C$11&lt;&gt;"",VLOOKUP($C$7,$P$6:$W$10,5,FALSE),0)</f>
        <v>0</v>
      </c>
      <c r="F21" s="99">
        <f>IF($D$21&lt;&gt;0,VLOOKUP($C$12,$K$6:$L$8,2,FALSE),0)</f>
        <v>0</v>
      </c>
      <c r="G21" s="90">
        <f>ROUND(E21*D21*F21,2)</f>
        <v>0</v>
      </c>
      <c r="H21" s="91">
        <f t="shared" si="0"/>
        <v>0</v>
      </c>
      <c r="I21" s="92">
        <f t="shared" si="1"/>
        <v>0</v>
      </c>
      <c r="J21" s="1"/>
      <c r="L21" s="19" t="s">
        <v>22</v>
      </c>
      <c r="M21" s="19"/>
      <c r="N21" s="20" t="s">
        <v>24</v>
      </c>
      <c r="O21" s="20"/>
      <c r="P21" s="21" t="s">
        <v>23</v>
      </c>
      <c r="Q21" s="21"/>
      <c r="R21" s="2" t="s">
        <v>28</v>
      </c>
      <c r="T21" s="2"/>
      <c r="V21" s="2"/>
      <c r="W21" s="2" t="s">
        <v>16</v>
      </c>
      <c r="X21" s="2"/>
      <c r="Y21" s="2">
        <v>2</v>
      </c>
      <c r="Z21" s="2"/>
    </row>
    <row r="22" spans="2:26" x14ac:dyDescent="0.25">
      <c r="B22" s="87" t="str">
        <f>"Odlaganje kom. odpadkov - storitev  ("&amp;IF($C$10&lt;&gt;"",C11/C13&amp;" l",0)&amp;")"</f>
        <v>Odlaganje kom. odpadkov - storitev  (0)</v>
      </c>
      <c r="C22" s="88" t="s">
        <v>84</v>
      </c>
      <c r="D22" s="94">
        <f>IF($C$11&lt;&gt;"",$C$11*4.3*VLOOKUP($C$7,$P$13:$W$15,6,FALSE)/$C$13,0)</f>
        <v>0</v>
      </c>
      <c r="E22" s="89">
        <f>IF($C$11&lt;&gt;"",VLOOKUP($C$7,$P$6:$W$10,6,FALSE),0)</f>
        <v>0</v>
      </c>
      <c r="F22" s="99">
        <f>IF($D$22&lt;&gt;0,VLOOKUP($C$12,$K$6:$L$8,2,FALSE),0)</f>
        <v>0</v>
      </c>
      <c r="G22" s="90">
        <f>ROUND(E22*D22*F22,2)</f>
        <v>0</v>
      </c>
      <c r="H22" s="91">
        <f t="shared" si="0"/>
        <v>0</v>
      </c>
      <c r="I22" s="92">
        <f t="shared" si="1"/>
        <v>0</v>
      </c>
      <c r="J22" s="1"/>
      <c r="L22" s="19" t="s">
        <v>25</v>
      </c>
      <c r="M22" s="19">
        <v>0.45829999999999999</v>
      </c>
      <c r="N22" s="20" t="s">
        <v>26</v>
      </c>
      <c r="O22" s="22">
        <v>0.374</v>
      </c>
      <c r="P22" s="21" t="s">
        <v>25</v>
      </c>
      <c r="Q22" s="21">
        <v>0.374</v>
      </c>
      <c r="R22" s="2">
        <v>80</v>
      </c>
      <c r="T22" s="2"/>
      <c r="V22" s="23"/>
      <c r="W22" s="23" t="s">
        <v>14</v>
      </c>
      <c r="X22" s="2"/>
      <c r="Y22" s="2">
        <v>3</v>
      </c>
      <c r="Z22" s="2"/>
    </row>
    <row r="23" spans="2:26" x14ac:dyDescent="0.25">
      <c r="B23" s="87" t="str">
        <f>"Odlaganje kom. odpadkov - infrastruktura  ("&amp;IF($C$10&lt;&gt;"",C11/C13&amp;" l",0)&amp;")"</f>
        <v>Odlaganje kom. odpadkov - infrastruktura  (0)</v>
      </c>
      <c r="C23" s="88" t="s">
        <v>84</v>
      </c>
      <c r="D23" s="94">
        <f>IF($C$11&lt;&gt;"",$C$11*4.3*VLOOKUP($C$7,$P$13:$W$15,7,FALSE)/$C$13,0)</f>
        <v>0</v>
      </c>
      <c r="E23" s="89">
        <f>IF($C$11&lt;&gt;"",VLOOKUP($C$7,$P$6:$W$10,7,FALSE),0)</f>
        <v>0</v>
      </c>
      <c r="F23" s="99">
        <f>IF($D$23&lt;&gt;0,VLOOKUP($C$12,$K$6:$L$8,2,FALSE),0)</f>
        <v>0</v>
      </c>
      <c r="G23" s="90">
        <f>ROUND(E23*D23*F23,2)</f>
        <v>0</v>
      </c>
      <c r="H23" s="91">
        <f t="shared" si="0"/>
        <v>0</v>
      </c>
      <c r="I23" s="92">
        <f t="shared" si="1"/>
        <v>0</v>
      </c>
      <c r="J23" s="1"/>
      <c r="L23" s="19" t="s">
        <v>27</v>
      </c>
      <c r="M23" s="19">
        <v>0.92</v>
      </c>
      <c r="N23" s="20" t="s">
        <v>32</v>
      </c>
      <c r="O23" s="22">
        <v>0.46</v>
      </c>
      <c r="P23" s="21" t="s">
        <v>26</v>
      </c>
      <c r="Q23" s="21">
        <v>0.374</v>
      </c>
      <c r="R23" s="2">
        <v>120</v>
      </c>
      <c r="T23" s="2"/>
      <c r="V23" s="23"/>
      <c r="W23" s="23" t="s">
        <v>15</v>
      </c>
      <c r="X23" s="2"/>
      <c r="Y23" s="2">
        <v>4</v>
      </c>
      <c r="Z23" s="2"/>
    </row>
    <row r="24" spans="2:26" ht="16.5" thickBot="1" x14ac:dyDescent="0.3">
      <c r="B24" s="45" t="str">
        <f>"Zbiranje bioloških odp. - storitev  ("&amp;IF($G$11&lt;&gt;"",G11/G13&amp;" l",0)&amp;")"</f>
        <v>Zbiranje bioloških odp. - storitev  (0)</v>
      </c>
      <c r="C24" s="46" t="s">
        <v>84</v>
      </c>
      <c r="D24" s="62">
        <f>IF($G$11&lt;&gt;"",$G$11*VLOOKUP($C$7,$P$13:$X$18,9,FALSE)*4.3/$G$13,0)</f>
        <v>0</v>
      </c>
      <c r="E24" s="63">
        <f>IF($G$11&lt;&gt;"",VLOOKUP($C$7,$P$6:$X$10,9,FALSE),0)</f>
        <v>0</v>
      </c>
      <c r="F24" s="64">
        <f>IF($G$12&lt;&gt;"",VLOOKUP($G$12,$K$6:$L$8,2,FALSE),0)</f>
        <v>0</v>
      </c>
      <c r="G24" s="64">
        <f>ROUND(E24*D24*F24,2)</f>
        <v>0</v>
      </c>
      <c r="H24" s="65">
        <f>IF(G24&lt;&gt;0,0.095,0)</f>
        <v>0</v>
      </c>
      <c r="I24" s="66">
        <f>ROUND(G24*1.095,2)</f>
        <v>0</v>
      </c>
      <c r="J24" s="1"/>
      <c r="L24" s="19" t="s">
        <v>29</v>
      </c>
      <c r="M24" s="19">
        <v>0.75</v>
      </c>
      <c r="N24" s="20" t="s">
        <v>35</v>
      </c>
      <c r="O24" s="22">
        <v>3.33</v>
      </c>
      <c r="P24" s="21" t="s">
        <v>32</v>
      </c>
      <c r="Q24" s="21">
        <v>0.46</v>
      </c>
      <c r="R24" s="2">
        <v>240</v>
      </c>
      <c r="T24" s="2"/>
      <c r="V24" s="3"/>
      <c r="W24" s="3"/>
      <c r="X24" s="2"/>
      <c r="Y24" s="2">
        <v>5</v>
      </c>
      <c r="Z24" s="2"/>
    </row>
    <row r="25" spans="2:26" ht="16.5" thickBot="1" x14ac:dyDescent="0.3">
      <c r="B25" s="47" t="s">
        <v>79</v>
      </c>
      <c r="C25" s="48"/>
      <c r="D25" s="48"/>
      <c r="E25" s="48"/>
      <c r="F25" s="48"/>
      <c r="G25" s="49">
        <f>SUM(G18:G24)</f>
        <v>0</v>
      </c>
      <c r="H25" s="49"/>
      <c r="I25" s="50">
        <f>SUM(I18:I24)</f>
        <v>0</v>
      </c>
      <c r="L25" s="19" t="s">
        <v>26</v>
      </c>
      <c r="M25" s="19">
        <v>0.46</v>
      </c>
      <c r="N25" s="20" t="s">
        <v>37</v>
      </c>
      <c r="O25" s="22">
        <v>3.33</v>
      </c>
      <c r="P25" s="21" t="s">
        <v>29</v>
      </c>
      <c r="Q25" s="21">
        <v>0.75</v>
      </c>
      <c r="R25" s="2">
        <v>660</v>
      </c>
      <c r="T25" s="2"/>
      <c r="V25" s="24" t="s">
        <v>18</v>
      </c>
      <c r="W25" s="24"/>
      <c r="X25" s="2"/>
      <c r="Y25" s="2">
        <v>6</v>
      </c>
      <c r="Z25" s="2"/>
    </row>
    <row r="26" spans="2:26" x14ac:dyDescent="0.25">
      <c r="B26" s="2"/>
      <c r="C26" s="26"/>
      <c r="D26" s="27"/>
      <c r="I26" s="1"/>
      <c r="L26" s="19" t="s">
        <v>30</v>
      </c>
      <c r="M26" s="19">
        <v>0.92</v>
      </c>
      <c r="N26" s="20" t="s">
        <v>31</v>
      </c>
      <c r="O26" s="22">
        <v>0.75</v>
      </c>
      <c r="P26" s="21" t="s">
        <v>31</v>
      </c>
      <c r="Q26" s="21">
        <v>0.75</v>
      </c>
      <c r="R26" s="2">
        <v>1100</v>
      </c>
      <c r="T26" s="2"/>
      <c r="V26" s="23" t="s">
        <v>19</v>
      </c>
      <c r="W26" s="23"/>
      <c r="X26" s="2"/>
      <c r="Y26" s="2">
        <v>7</v>
      </c>
      <c r="Z26" s="2"/>
    </row>
    <row r="27" spans="2:26" x14ac:dyDescent="0.25">
      <c r="B27" s="2"/>
      <c r="I27" s="1"/>
      <c r="L27" s="19" t="s">
        <v>31</v>
      </c>
      <c r="M27" s="19">
        <v>0.75</v>
      </c>
      <c r="N27" s="20" t="s">
        <v>34</v>
      </c>
      <c r="O27" s="22">
        <v>0.92</v>
      </c>
      <c r="P27" s="21" t="s">
        <v>34</v>
      </c>
      <c r="Q27" s="21">
        <v>0.92</v>
      </c>
      <c r="T27" s="2"/>
      <c r="V27" s="25" t="s">
        <v>21</v>
      </c>
      <c r="W27" s="25"/>
      <c r="X27" s="2"/>
      <c r="Y27" s="2">
        <v>8</v>
      </c>
      <c r="Z27" s="2"/>
    </row>
    <row r="28" spans="2:26" x14ac:dyDescent="0.25">
      <c r="I28" s="1"/>
      <c r="L28" s="19" t="s">
        <v>32</v>
      </c>
      <c r="M28" s="19">
        <v>0.624</v>
      </c>
      <c r="N28" s="20" t="s">
        <v>36</v>
      </c>
      <c r="O28" s="20">
        <v>4.17</v>
      </c>
      <c r="T28" s="2"/>
      <c r="U28" s="2"/>
      <c r="V28" s="23" t="s">
        <v>20</v>
      </c>
      <c r="W28" s="23"/>
      <c r="X28" s="2"/>
      <c r="Y28" s="2">
        <v>9</v>
      </c>
      <c r="Z28" s="2"/>
    </row>
    <row r="29" spans="2:26" x14ac:dyDescent="0.25">
      <c r="I29" s="1"/>
      <c r="L29" s="19" t="s">
        <v>33</v>
      </c>
      <c r="M29" s="19">
        <v>1.0900000000000001</v>
      </c>
      <c r="N29" s="20" t="s">
        <v>38</v>
      </c>
      <c r="O29" s="20">
        <v>5</v>
      </c>
      <c r="T29" s="2"/>
      <c r="U29" s="2"/>
      <c r="V29" s="2"/>
      <c r="X29" s="2"/>
      <c r="Y29" s="2">
        <v>10</v>
      </c>
      <c r="Z29" s="2"/>
    </row>
    <row r="30" spans="2:26" x14ac:dyDescent="0.25">
      <c r="I30" s="1"/>
      <c r="L30" s="19" t="s">
        <v>34</v>
      </c>
      <c r="M30" s="19">
        <v>0.92</v>
      </c>
      <c r="T30" s="2"/>
      <c r="U30" s="2"/>
      <c r="V30" s="2"/>
      <c r="W30" s="2"/>
      <c r="X30" s="2"/>
      <c r="Y30" s="2">
        <v>11</v>
      </c>
      <c r="Z30" s="2"/>
    </row>
    <row r="31" spans="2:26" x14ac:dyDescent="0.25">
      <c r="I31" s="1"/>
      <c r="L31" s="19" t="s">
        <v>35</v>
      </c>
      <c r="M31" s="19">
        <v>3.5830000000000002</v>
      </c>
      <c r="T31" s="2"/>
      <c r="U31" s="2"/>
      <c r="V31" s="2"/>
      <c r="W31" s="2"/>
      <c r="X31" s="2"/>
      <c r="Y31" s="2">
        <v>12</v>
      </c>
      <c r="Z31" s="2"/>
    </row>
    <row r="32" spans="2:26" x14ac:dyDescent="0.25">
      <c r="I32" s="1"/>
      <c r="L32" s="19" t="s">
        <v>36</v>
      </c>
      <c r="M32" s="19">
        <v>4.17</v>
      </c>
      <c r="S32" s="28"/>
      <c r="T32" s="28"/>
      <c r="U32" s="28"/>
      <c r="V32" s="2"/>
      <c r="W32" s="2"/>
      <c r="X32" s="2"/>
      <c r="Y32" s="2">
        <v>13</v>
      </c>
      <c r="Z32" s="2"/>
    </row>
    <row r="33" spans="9:26" x14ac:dyDescent="0.25">
      <c r="I33" s="1"/>
      <c r="L33" s="19" t="s">
        <v>37</v>
      </c>
      <c r="M33" s="19">
        <v>4.1669999999999998</v>
      </c>
      <c r="S33" s="28"/>
      <c r="T33" s="28"/>
      <c r="U33" s="28"/>
      <c r="V33" s="2"/>
      <c r="W33" s="2"/>
      <c r="X33" s="2"/>
      <c r="Y33" s="2">
        <v>14</v>
      </c>
      <c r="Z33" s="2"/>
    </row>
    <row r="34" spans="9:26" x14ac:dyDescent="0.25">
      <c r="I34" s="1"/>
      <c r="L34" s="19" t="s">
        <v>38</v>
      </c>
      <c r="M34" s="19">
        <v>5</v>
      </c>
      <c r="S34" s="28"/>
      <c r="T34" s="28"/>
      <c r="U34" s="28"/>
      <c r="V34" s="2"/>
      <c r="W34" s="2"/>
      <c r="X34" s="2"/>
      <c r="Y34" s="2">
        <v>15</v>
      </c>
      <c r="Z34" s="2"/>
    </row>
    <row r="35" spans="9:26" x14ac:dyDescent="0.25">
      <c r="O35" s="28"/>
      <c r="P35" s="28"/>
      <c r="Q35" s="28"/>
      <c r="R35" s="28"/>
      <c r="T35" s="2"/>
      <c r="U35" s="2"/>
      <c r="V35" s="2"/>
      <c r="W35" s="2"/>
      <c r="X35" s="2"/>
      <c r="Y35" s="2">
        <v>16</v>
      </c>
      <c r="Z35" s="2"/>
    </row>
    <row r="36" spans="9:26" x14ac:dyDescent="0.25"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">
        <v>17</v>
      </c>
      <c r="Z36" s="2"/>
    </row>
    <row r="37" spans="9:26" x14ac:dyDescent="0.25">
      <c r="O37" s="28"/>
      <c r="P37" s="28"/>
      <c r="Q37" s="28"/>
      <c r="R37" s="28"/>
      <c r="T37" s="2"/>
      <c r="U37" s="2"/>
      <c r="V37" s="2"/>
      <c r="W37" s="2"/>
      <c r="X37" s="2"/>
      <c r="Y37" s="2">
        <v>18</v>
      </c>
      <c r="Z37" s="2"/>
    </row>
    <row r="38" spans="9:26" x14ac:dyDescent="0.25">
      <c r="O38" s="28"/>
      <c r="P38" s="28"/>
      <c r="Q38" s="28"/>
      <c r="R38" s="28"/>
      <c r="T38" s="2"/>
      <c r="U38" s="2"/>
      <c r="V38" s="2"/>
      <c r="W38" s="2"/>
      <c r="X38" s="2"/>
      <c r="Y38" s="2">
        <v>19</v>
      </c>
      <c r="Z38" s="2"/>
    </row>
    <row r="39" spans="9:26" x14ac:dyDescent="0.25">
      <c r="O39" s="28"/>
      <c r="P39" s="28"/>
      <c r="Q39" s="28"/>
      <c r="R39" s="28"/>
      <c r="T39" s="2"/>
      <c r="U39" s="2"/>
      <c r="V39" s="2"/>
      <c r="W39" s="2"/>
      <c r="X39" s="2"/>
      <c r="Y39" s="2">
        <v>20</v>
      </c>
      <c r="Z39" s="2"/>
    </row>
    <row r="40" spans="9:26" x14ac:dyDescent="0.25">
      <c r="T40" s="2"/>
      <c r="Y40" s="2">
        <v>24</v>
      </c>
      <c r="Z40" s="2"/>
    </row>
    <row r="41" spans="9:26" x14ac:dyDescent="0.25">
      <c r="T41" s="2"/>
      <c r="Y41" s="2">
        <v>25</v>
      </c>
      <c r="Z41" s="2"/>
    </row>
    <row r="42" spans="9:26" x14ac:dyDescent="0.25">
      <c r="T42" s="2"/>
    </row>
    <row r="43" spans="9:26" x14ac:dyDescent="0.25">
      <c r="T43" s="2"/>
    </row>
  </sheetData>
  <sheetProtection algorithmName="SHA-512" hashValue="oTfQRJsCXaSdDVqpK9yrSePZVmJBLD++w0CDy431OlkvyrdUDVLfc/1Bs/7wU3nMPxj9v24aHKihsOJ/ZsZzaw==" saltValue="ARXMkHpIIkY3oiIzzcHepg==" spinCount="100000" sheet="1" objects="1" scenarios="1"/>
  <protectedRanges>
    <protectedRange sqref="G11:G13" name="Obseg4"/>
    <protectedRange sqref="E11:E13" name="Obseg3"/>
    <protectedRange sqref="C10:C13" name="Obseg2"/>
    <protectedRange sqref="C10 C7" name="Obseg1"/>
  </protectedRanges>
  <dataConsolidate/>
  <phoneticPr fontId="1" type="noConversion"/>
  <conditionalFormatting sqref="C13">
    <cfRule type="expression" dxfId="5" priority="5" stopIfTrue="1">
      <formula>#REF!="Gospodinjstvo"</formula>
    </cfRule>
  </conditionalFormatting>
  <conditionalFormatting sqref="D18:I24">
    <cfRule type="cellIs" dxfId="4" priority="4" stopIfTrue="1" operator="equal">
      <formula>0</formula>
    </cfRule>
  </conditionalFormatting>
  <conditionalFormatting sqref="F14">
    <cfRule type="expression" dxfId="3" priority="6" stopIfTrue="1">
      <formula>$C$7="Jezersko"</formula>
    </cfRule>
  </conditionalFormatting>
  <conditionalFormatting sqref="G8">
    <cfRule type="expression" dxfId="2" priority="7" stopIfTrue="1">
      <formula>$C$9="Gospodinjstvo"</formula>
    </cfRule>
  </conditionalFormatting>
  <dataValidations xWindow="865" yWindow="554" count="9">
    <dataValidation operator="greaterThanOrEqual" allowBlank="1" showInputMessage="1" showErrorMessage="1" sqref="G9 E9 C9" xr:uid="{00000000-0002-0000-0000-000000000000}"/>
    <dataValidation type="list" allowBlank="1" showErrorMessage="1" prompt="V primeru tedenskega odvoza mešanih odpadkov izberite 1, v primeru odvoza odpadkov na 14 dni pa izberite vrednost 0,5. " sqref="C12" xr:uid="{00000000-0002-0000-0000-000001000000}">
      <formula1>$K$10:$K$11</formula1>
    </dataValidation>
    <dataValidation type="list" allowBlank="1" showInputMessage="1" showErrorMessage="1" sqref="G11" xr:uid="{00000000-0002-0000-0000-000002000000}">
      <formula1>$R$22:$R$24</formula1>
    </dataValidation>
    <dataValidation type="list" allowBlank="1" showInputMessage="1" showErrorMessage="1" sqref="C11" xr:uid="{00000000-0002-0000-0000-000003000000}">
      <formula1>$R$22:$R$26</formula1>
    </dataValidation>
    <dataValidation type="list" allowBlank="1" showInputMessage="1" showErrorMessage="1" sqref="E11" xr:uid="{00000000-0002-0000-0000-000004000000}">
      <formula1>$R$23:$R$26</formula1>
    </dataValidation>
    <dataValidation type="list" operator="greaterThanOrEqual" allowBlank="1" showInputMessage="1" showErrorMessage="1" sqref="C10" xr:uid="{00000000-0002-0000-0000-000005000000}">
      <formula1>$Y$20:$Y$41</formula1>
    </dataValidation>
    <dataValidation type="list" operator="greaterThanOrEqual" allowBlank="1" showInputMessage="1" showErrorMessage="1" prompt="Izberite 1, če si ne delite zabojnika oz. izberite število strank s katerimi si delite zabojnik." sqref="C13 E13 G13" xr:uid="{00000000-0002-0000-0000-000006000000}">
      <formula1>$Y$20:$Y$41</formula1>
    </dataValidation>
    <dataValidation type="list" allowBlank="1" showErrorMessage="1" prompt="V primeru tedenskega odvoza mešanih odpadkov izberite 1, v primeru odvoza odpadkov na 14 dni pa izberite vrednost 0,5. " sqref="G12 E12" xr:uid="{00000000-0002-0000-0000-000007000000}">
      <formula1>$K$6:$K$7</formula1>
    </dataValidation>
    <dataValidation type="list" allowBlank="1" showInputMessage="1" showErrorMessage="1" sqref="C7" xr:uid="{00000000-0002-0000-0000-000008000000}">
      <formula1>$P$6:$P$8</formula1>
    </dataValidation>
  </dataValidations>
  <pageMargins left="0.75" right="0.75" top="1" bottom="1" header="0" footer="0"/>
  <pageSetup paperSize="9" scale="73" orientation="landscape" r:id="rId1"/>
  <headerFooter alignWithMargins="0"/>
  <customProperties>
    <customPr name="SSCSheetTrackingNo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63"/>
  </sheetPr>
  <dimension ref="A1:AB93"/>
  <sheetViews>
    <sheetView workbookViewId="0">
      <selection activeCell="AD13" sqref="AD13"/>
    </sheetView>
  </sheetViews>
  <sheetFormatPr defaultColWidth="9.33203125" defaultRowHeight="15.75" x14ac:dyDescent="0.25"/>
  <cols>
    <col min="1" max="1" width="4" style="1" customWidth="1"/>
    <col min="2" max="2" width="47.83203125" style="1" customWidth="1"/>
    <col min="3" max="3" width="18.83203125" style="1" customWidth="1"/>
    <col min="4" max="4" width="10.83203125" style="1" customWidth="1"/>
    <col min="5" max="5" width="18.83203125" style="1" customWidth="1"/>
    <col min="6" max="6" width="10.83203125" style="1" customWidth="1"/>
    <col min="7" max="7" width="21.83203125" style="1" customWidth="1"/>
    <col min="8" max="8" width="10.83203125" style="1" customWidth="1"/>
    <col min="9" max="9" width="18.83203125" style="1" customWidth="1"/>
    <col min="10" max="10" width="9.33203125" style="2" hidden="1" customWidth="1"/>
    <col min="11" max="11" width="3.1640625" style="2" hidden="1" customWidth="1"/>
    <col min="12" max="12" width="35.5" style="2" hidden="1" customWidth="1"/>
    <col min="13" max="13" width="28" style="2" hidden="1" customWidth="1"/>
    <col min="14" max="14" width="9.83203125" style="2" hidden="1" customWidth="1"/>
    <col min="15" max="15" width="27.6640625" style="2" hidden="1" customWidth="1"/>
    <col min="16" max="16" width="12.1640625" style="2" hidden="1" customWidth="1"/>
    <col min="17" max="17" width="8.6640625" style="2" hidden="1" customWidth="1"/>
    <col min="18" max="18" width="11" style="2" hidden="1" customWidth="1"/>
    <col min="19" max="19" width="9.33203125" style="2" hidden="1" customWidth="1"/>
    <col min="20" max="20" width="19" style="2" hidden="1" customWidth="1"/>
    <col min="21" max="21" width="27.6640625" style="1" hidden="1" customWidth="1"/>
    <col min="22" max="22" width="18" style="1" hidden="1" customWidth="1"/>
    <col min="23" max="23" width="15" style="1" hidden="1" customWidth="1"/>
    <col min="24" max="24" width="16" style="1" hidden="1" customWidth="1"/>
    <col min="25" max="25" width="19.1640625" style="1" hidden="1" customWidth="1"/>
    <col min="26" max="26" width="9.6640625" style="1" hidden="1" customWidth="1"/>
    <col min="27" max="27" width="9.33203125" style="1" hidden="1" customWidth="1"/>
    <col min="28" max="30" width="9.33203125" style="1" customWidth="1"/>
    <col min="31" max="16384" width="9.33203125" style="1"/>
  </cols>
  <sheetData>
    <row r="1" spans="1:26" ht="26.25" x14ac:dyDescent="0.4">
      <c r="B1" s="29" t="s">
        <v>101</v>
      </c>
      <c r="L1" s="2" t="s">
        <v>9</v>
      </c>
      <c r="O1" s="2" t="s">
        <v>11</v>
      </c>
      <c r="P1" s="2" t="s">
        <v>12</v>
      </c>
    </row>
    <row r="2" spans="1:26" x14ac:dyDescent="0.25">
      <c r="B2" s="31" t="s">
        <v>103</v>
      </c>
      <c r="L2" s="2" t="s">
        <v>43</v>
      </c>
      <c r="O2" s="2" t="s">
        <v>10</v>
      </c>
      <c r="P2" s="2" t="s">
        <v>10</v>
      </c>
      <c r="S2" s="3"/>
      <c r="T2" s="3"/>
      <c r="U2" s="2"/>
      <c r="V2" s="2"/>
      <c r="W2" s="2"/>
      <c r="X2" s="2"/>
      <c r="Y2" s="2"/>
    </row>
    <row r="3" spans="1:26" x14ac:dyDescent="0.25">
      <c r="B3" s="30"/>
      <c r="R3" s="2" t="s">
        <v>16</v>
      </c>
      <c r="S3" s="3"/>
      <c r="T3" s="3"/>
      <c r="U3" s="2"/>
      <c r="V3" s="2"/>
      <c r="W3" s="2"/>
      <c r="X3" s="2"/>
      <c r="Y3" s="2"/>
    </row>
    <row r="4" spans="1:26" x14ac:dyDescent="0.25">
      <c r="B4" s="30" t="s">
        <v>80</v>
      </c>
      <c r="R4" s="23" t="s">
        <v>14</v>
      </c>
    </row>
    <row r="5" spans="1:26" x14ac:dyDescent="0.25">
      <c r="R5" s="23" t="s">
        <v>15</v>
      </c>
      <c r="T5" s="19" t="s">
        <v>22</v>
      </c>
      <c r="U5" s="19"/>
      <c r="V5" s="20" t="s">
        <v>24</v>
      </c>
      <c r="W5" s="20"/>
      <c r="X5" s="21" t="s">
        <v>23</v>
      </c>
      <c r="Y5" s="21"/>
      <c r="Z5" s="2" t="s">
        <v>28</v>
      </c>
    </row>
    <row r="6" spans="1:26" ht="16.5" thickBot="1" x14ac:dyDescent="0.3">
      <c r="L6" s="2">
        <v>120</v>
      </c>
      <c r="M6" s="2">
        <v>80</v>
      </c>
      <c r="N6" s="3"/>
      <c r="O6" s="3"/>
      <c r="P6" s="3"/>
      <c r="R6" s="3"/>
      <c r="S6" s="3"/>
      <c r="T6" s="19" t="s">
        <v>25</v>
      </c>
      <c r="U6" s="19">
        <v>0.45829999999999999</v>
      </c>
      <c r="V6" s="20" t="s">
        <v>26</v>
      </c>
      <c r="W6" s="22">
        <v>0.374</v>
      </c>
      <c r="X6" s="21" t="s">
        <v>25</v>
      </c>
      <c r="Y6" s="21">
        <v>0.374</v>
      </c>
      <c r="Z6" s="2">
        <v>80</v>
      </c>
    </row>
    <row r="7" spans="1:26" ht="16.5" thickBot="1" x14ac:dyDescent="0.3">
      <c r="B7" s="32" t="s">
        <v>1</v>
      </c>
      <c r="C7" s="37" t="s">
        <v>4</v>
      </c>
      <c r="D7" s="9"/>
      <c r="L7" s="2">
        <v>240</v>
      </c>
      <c r="M7" s="2">
        <v>120</v>
      </c>
      <c r="N7" s="3"/>
      <c r="O7" s="3" t="s">
        <v>4</v>
      </c>
      <c r="P7" s="3"/>
      <c r="R7" s="24" t="s">
        <v>18</v>
      </c>
      <c r="S7" s="3"/>
      <c r="T7" s="19" t="s">
        <v>27</v>
      </c>
      <c r="U7" s="19">
        <v>0.92</v>
      </c>
      <c r="V7" s="20" t="s">
        <v>32</v>
      </c>
      <c r="W7" s="22">
        <v>0.46</v>
      </c>
      <c r="X7" s="21" t="s">
        <v>26</v>
      </c>
      <c r="Y7" s="21">
        <v>0.374</v>
      </c>
      <c r="Z7" s="2">
        <v>120</v>
      </c>
    </row>
    <row r="8" spans="1:26" ht="16.5" thickBot="1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L8" s="2">
        <v>660</v>
      </c>
      <c r="M8" s="2">
        <v>240</v>
      </c>
      <c r="N8" s="3"/>
      <c r="O8" s="2" t="s">
        <v>6</v>
      </c>
      <c r="P8" s="3"/>
      <c r="R8" s="23" t="s">
        <v>19</v>
      </c>
      <c r="S8" s="3"/>
      <c r="T8" s="19" t="s">
        <v>29</v>
      </c>
      <c r="U8" s="19">
        <v>0.75</v>
      </c>
      <c r="V8" s="20" t="s">
        <v>35</v>
      </c>
      <c r="W8" s="22">
        <v>3.33</v>
      </c>
      <c r="X8" s="21" t="s">
        <v>32</v>
      </c>
      <c r="Y8" s="21">
        <v>0.46</v>
      </c>
      <c r="Z8" s="2">
        <v>240</v>
      </c>
    </row>
    <row r="9" spans="1:26" ht="27" customHeight="1" thickBot="1" x14ac:dyDescent="0.3">
      <c r="A9" s="12"/>
      <c r="B9" s="12"/>
      <c r="C9" s="51" t="s">
        <v>81</v>
      </c>
      <c r="D9" s="34"/>
      <c r="E9" s="35" t="s">
        <v>82</v>
      </c>
      <c r="F9" s="34"/>
      <c r="G9" s="36" t="s">
        <v>83</v>
      </c>
      <c r="I9" s="12"/>
      <c r="J9" s="12"/>
      <c r="L9" s="2">
        <v>1100</v>
      </c>
      <c r="M9" s="2">
        <v>660</v>
      </c>
      <c r="N9" s="3"/>
      <c r="O9" s="3" t="s">
        <v>8</v>
      </c>
      <c r="P9" s="3"/>
      <c r="R9" s="23" t="s">
        <v>20</v>
      </c>
      <c r="S9" s="3"/>
      <c r="T9" s="19" t="s">
        <v>26</v>
      </c>
      <c r="U9" s="19">
        <v>0.46</v>
      </c>
      <c r="V9" s="20" t="s">
        <v>37</v>
      </c>
      <c r="W9" s="22">
        <v>3.33</v>
      </c>
      <c r="X9" s="21" t="s">
        <v>29</v>
      </c>
      <c r="Y9" s="21">
        <v>0.75</v>
      </c>
      <c r="Z9" s="2">
        <v>660</v>
      </c>
    </row>
    <row r="10" spans="1:26" x14ac:dyDescent="0.25">
      <c r="B10" s="32" t="s">
        <v>77</v>
      </c>
      <c r="C10" s="75"/>
      <c r="D10" s="9"/>
      <c r="E10" s="78"/>
      <c r="G10" s="83"/>
      <c r="N10" s="3"/>
      <c r="S10" s="3"/>
      <c r="T10" s="19" t="s">
        <v>30</v>
      </c>
      <c r="U10" s="19">
        <v>0.92</v>
      </c>
      <c r="V10" s="20" t="s">
        <v>31</v>
      </c>
      <c r="W10" s="22">
        <v>0.75</v>
      </c>
      <c r="X10" s="21" t="s">
        <v>31</v>
      </c>
      <c r="Y10" s="21">
        <v>0.75</v>
      </c>
      <c r="Z10" s="2">
        <v>1100</v>
      </c>
    </row>
    <row r="11" spans="1:26" x14ac:dyDescent="0.25">
      <c r="B11" s="32" t="s">
        <v>44</v>
      </c>
      <c r="C11" s="76"/>
      <c r="E11" s="79"/>
      <c r="G11" s="84"/>
      <c r="N11" s="3"/>
      <c r="O11" s="3"/>
      <c r="P11" s="3"/>
      <c r="R11" s="23"/>
      <c r="S11" s="3"/>
      <c r="T11" s="19" t="s">
        <v>31</v>
      </c>
      <c r="U11" s="19">
        <v>0.75</v>
      </c>
      <c r="V11" s="20" t="s">
        <v>34</v>
      </c>
      <c r="W11" s="22">
        <v>0.92</v>
      </c>
      <c r="X11" s="21" t="s">
        <v>34</v>
      </c>
      <c r="Y11" s="21">
        <v>0.92</v>
      </c>
      <c r="Z11" s="2"/>
    </row>
    <row r="12" spans="1:26" ht="16.5" thickBot="1" x14ac:dyDescent="0.3">
      <c r="B12" s="32" t="s">
        <v>46</v>
      </c>
      <c r="C12" s="107"/>
      <c r="E12" s="80"/>
      <c r="G12" s="85"/>
      <c r="N12" s="3"/>
      <c r="O12" s="3"/>
      <c r="P12" s="3"/>
      <c r="R12" s="23"/>
      <c r="S12" s="3"/>
      <c r="T12" s="19" t="s">
        <v>45</v>
      </c>
      <c r="U12" s="19">
        <v>2.6415999999999999</v>
      </c>
      <c r="V12" s="20" t="s">
        <v>36</v>
      </c>
      <c r="W12" s="20">
        <v>4.17</v>
      </c>
      <c r="X12" s="2"/>
      <c r="Y12" s="2"/>
      <c r="Z12" s="2"/>
    </row>
    <row r="13" spans="1:26" x14ac:dyDescent="0.25">
      <c r="B13" s="9"/>
      <c r="L13" s="108" t="s">
        <v>4</v>
      </c>
      <c r="M13" s="109" t="s">
        <v>78</v>
      </c>
      <c r="N13" s="108" t="s">
        <v>74</v>
      </c>
      <c r="O13" s="108" t="s">
        <v>78</v>
      </c>
      <c r="P13" s="108" t="s">
        <v>75</v>
      </c>
      <c r="Q13" s="109" t="s">
        <v>78</v>
      </c>
      <c r="R13" s="110" t="s">
        <v>75</v>
      </c>
      <c r="S13" s="3"/>
      <c r="T13" s="19" t="s">
        <v>32</v>
      </c>
      <c r="U13" s="19">
        <v>0.624</v>
      </c>
      <c r="V13" s="20" t="s">
        <v>38</v>
      </c>
      <c r="W13" s="20">
        <v>5</v>
      </c>
      <c r="X13" s="2"/>
      <c r="Y13" s="2"/>
      <c r="Z13" s="2"/>
    </row>
    <row r="14" spans="1:26" x14ac:dyDescent="0.25">
      <c r="H14" s="2"/>
      <c r="L14" s="109" t="s">
        <v>6</v>
      </c>
      <c r="M14" s="109" t="s">
        <v>74</v>
      </c>
      <c r="N14" s="108"/>
      <c r="O14" s="108" t="s">
        <v>75</v>
      </c>
      <c r="P14" s="108"/>
      <c r="Q14" s="109" t="s">
        <v>78</v>
      </c>
      <c r="R14" s="110" t="s">
        <v>75</v>
      </c>
      <c r="S14" s="3"/>
      <c r="T14" s="19" t="s">
        <v>33</v>
      </c>
      <c r="U14" s="19">
        <v>1.0900000000000001</v>
      </c>
      <c r="V14" s="2"/>
      <c r="W14" s="2"/>
      <c r="X14" s="2"/>
      <c r="Y14" s="2"/>
      <c r="Z14" s="2"/>
    </row>
    <row r="15" spans="1:26" x14ac:dyDescent="0.25">
      <c r="B15" s="9"/>
      <c r="H15" s="2"/>
      <c r="L15" s="108" t="s">
        <v>8</v>
      </c>
      <c r="M15" s="109" t="s">
        <v>74</v>
      </c>
      <c r="N15" s="108"/>
      <c r="O15" s="108" t="s">
        <v>75</v>
      </c>
      <c r="P15" s="108"/>
      <c r="Q15" s="109" t="s">
        <v>78</v>
      </c>
      <c r="R15" s="110" t="s">
        <v>75</v>
      </c>
      <c r="S15" s="3"/>
      <c r="T15" s="19" t="s">
        <v>34</v>
      </c>
      <c r="U15" s="19">
        <v>0.92</v>
      </c>
      <c r="V15" s="2"/>
      <c r="W15" s="2"/>
      <c r="X15" s="2"/>
      <c r="Y15" s="2"/>
      <c r="Z15" s="2"/>
    </row>
    <row r="16" spans="1:26" ht="16.5" thickBot="1" x14ac:dyDescent="0.3">
      <c r="S16" s="3"/>
      <c r="T16" s="19" t="s">
        <v>35</v>
      </c>
      <c r="U16" s="19">
        <v>3.5830000000000002</v>
      </c>
      <c r="V16" s="2"/>
      <c r="W16" s="2"/>
      <c r="X16" s="2"/>
      <c r="Y16" s="2"/>
      <c r="Z16" s="2"/>
    </row>
    <row r="17" spans="2:26" ht="16.5" thickBot="1" x14ac:dyDescent="0.3">
      <c r="B17" s="38" t="str">
        <f>IF(C7&lt;&gt;"","Občina "&amp;C7&amp;" - poslovna dejavnost","")</f>
        <v>Občina MOK - poslovna dejavnost</v>
      </c>
      <c r="C17" s="39" t="s">
        <v>87</v>
      </c>
      <c r="D17" s="39" t="s">
        <v>3</v>
      </c>
      <c r="E17" s="39" t="s">
        <v>86</v>
      </c>
      <c r="F17" s="39" t="s">
        <v>67</v>
      </c>
      <c r="G17" s="39" t="s">
        <v>85</v>
      </c>
      <c r="H17" s="39" t="s">
        <v>49</v>
      </c>
      <c r="I17" s="40" t="s">
        <v>13</v>
      </c>
      <c r="J17" s="1"/>
      <c r="N17" s="3"/>
      <c r="O17" s="3"/>
      <c r="P17" s="3"/>
      <c r="R17" s="23"/>
      <c r="S17" s="3"/>
      <c r="T17" s="19" t="s">
        <v>36</v>
      </c>
      <c r="U17" s="19">
        <v>4.17</v>
      </c>
      <c r="V17" s="2"/>
      <c r="W17" s="2"/>
      <c r="X17" s="2"/>
      <c r="Y17" s="2"/>
      <c r="Z17" s="2"/>
    </row>
    <row r="18" spans="2:26" x14ac:dyDescent="0.25">
      <c r="B18" s="41" t="str">
        <f>"Zbiranje odpadkov - storitev  ("&amp;IF($C$11&lt;&gt;"",C11&amp;" l",0)&amp;")"</f>
        <v>Zbiranje odpadkov - storitev  (0)</v>
      </c>
      <c r="C18" s="42" t="s">
        <v>61</v>
      </c>
      <c r="D18" s="52">
        <f>IF($C$11&lt;&gt;"",IF($C$10="tedensko",VLOOKUP($C$11,$T$24:$Z$29,7,FALSE),VLOOKUP($C$11,$L$24:$R$29,7,FALSE)),0)</f>
        <v>0</v>
      </c>
      <c r="E18" s="53">
        <f>IF($C$11&lt;&gt;"",R68,0)</f>
        <v>0</v>
      </c>
      <c r="F18" s="54">
        <f>IF($C$12&lt;&gt;"",$C$12,0)</f>
        <v>0</v>
      </c>
      <c r="G18" s="54">
        <f t="shared" ref="G18:G23" si="0">ROUND(E18*D18*F18,2)</f>
        <v>0</v>
      </c>
      <c r="H18" s="55">
        <f t="shared" ref="H18:H23" si="1">IF(G18&lt;&gt;0,0.095,0)</f>
        <v>0</v>
      </c>
      <c r="I18" s="56">
        <f t="shared" ref="I18:I23" si="2">ROUND(G18*1.095,2)</f>
        <v>0</v>
      </c>
      <c r="J18" s="1"/>
      <c r="N18" s="3"/>
      <c r="O18" s="3"/>
      <c r="P18" s="3"/>
      <c r="R18" s="23"/>
      <c r="S18" s="3"/>
      <c r="T18" s="19" t="s">
        <v>47</v>
      </c>
      <c r="U18" s="19">
        <v>6.9271000000000003</v>
      </c>
      <c r="V18" s="2"/>
      <c r="W18" s="2"/>
      <c r="X18" s="2"/>
      <c r="Y18" s="2"/>
      <c r="Z18" s="2"/>
    </row>
    <row r="19" spans="2:26" ht="15" customHeight="1" x14ac:dyDescent="0.25">
      <c r="B19" s="43" t="str">
        <f>"Zbiranje odpadkov - infrastruktura  ("&amp;IF($C$11&lt;&gt;"",C11&amp;" l",0)&amp;")"</f>
        <v>Zbiranje odpadkov - infrastruktura  (0)</v>
      </c>
      <c r="C19" s="44" t="s">
        <v>61</v>
      </c>
      <c r="D19" s="57">
        <f>IF($C$11&lt;&gt;"",IF($C$10="tedensko",VLOOKUP($C$11,$T$24:$Z$29,7,FALSE),VLOOKUP($C$11,$L$24:$R$29,7,FALSE)),0)</f>
        <v>0</v>
      </c>
      <c r="E19" s="58">
        <f>IF($C$11&lt;&gt;"",R69,0)</f>
        <v>0</v>
      </c>
      <c r="F19" s="59">
        <f>IF($C$12&lt;&gt;"",$C$12,0)</f>
        <v>0</v>
      </c>
      <c r="G19" s="59">
        <f t="shared" si="0"/>
        <v>0</v>
      </c>
      <c r="H19" s="60">
        <f t="shared" si="1"/>
        <v>0</v>
      </c>
      <c r="I19" s="61">
        <f t="shared" si="2"/>
        <v>0</v>
      </c>
      <c r="J19" s="1"/>
      <c r="L19" s="2" t="s">
        <v>100</v>
      </c>
      <c r="M19" s="3"/>
      <c r="O19" s="23"/>
      <c r="S19" s="3"/>
      <c r="T19" s="19" t="s">
        <v>48</v>
      </c>
      <c r="U19" s="19">
        <v>6.6077000000000004</v>
      </c>
      <c r="V19" s="2"/>
      <c r="X19" s="2"/>
      <c r="Y19" s="2"/>
      <c r="Z19" s="2"/>
    </row>
    <row r="20" spans="2:26" x14ac:dyDescent="0.25">
      <c r="B20" s="87" t="str">
        <f>"Obdelava kom. odpadkov - storitev  ("&amp;IF($C$11&lt;&gt;"",C11&amp;" l",0)&amp;")"</f>
        <v>Obdelava kom. odpadkov - storitev  (0)</v>
      </c>
      <c r="C20" s="44" t="s">
        <v>61</v>
      </c>
      <c r="D20" s="57">
        <f>IF($C$11&lt;&gt;"",IF($C$10="tedensko",VLOOKUP($C$11,$T$45:$Z$50,7,FALSE),VLOOKUP($C$11,$L$45:$R$50,7,FALSE)),0)</f>
        <v>0</v>
      </c>
      <c r="E20" s="58">
        <f t="shared" ref="E20:E23" si="3">IF($C$11&lt;&gt;"",R70,0)</f>
        <v>0</v>
      </c>
      <c r="F20" s="59">
        <f>IF($D$20&lt;&gt;0,$C$12,0)</f>
        <v>0</v>
      </c>
      <c r="G20" s="59">
        <f t="shared" si="0"/>
        <v>0</v>
      </c>
      <c r="H20" s="60">
        <f t="shared" si="1"/>
        <v>0</v>
      </c>
      <c r="I20" s="61">
        <f t="shared" si="2"/>
        <v>0</v>
      </c>
      <c r="J20" s="1"/>
      <c r="L20" s="2" t="str">
        <f>VLOOKUP($C$7,$L$13:$R$15,2,FALSE)</f>
        <v>tedensko</v>
      </c>
      <c r="M20" s="2">
        <f>IF($L20="tedensko",1,IF($L20="na 3 tedne",0.3333,""))</f>
        <v>1</v>
      </c>
      <c r="N20" s="2" t="str">
        <f>VLOOKUP($C$7,$L$13:$R$15,4,FALSE)</f>
        <v>tedensko</v>
      </c>
      <c r="O20" s="2">
        <f>IF($N20="tedensko",1,IF($N20="na 14 dni",0.5,""))</f>
        <v>1</v>
      </c>
      <c r="P20" s="2" t="str">
        <f>VLOOKUP($C$7,$L$13:$R$15,6,FALSE)</f>
        <v>tedensko</v>
      </c>
      <c r="Q20" s="2">
        <f>IF($P20="tedensko",1,IF($P20="na 14 dni",0.5,""))</f>
        <v>1</v>
      </c>
      <c r="S20" s="3"/>
      <c r="T20" s="19" t="s">
        <v>37</v>
      </c>
      <c r="U20" s="19">
        <v>4.1666999999999996</v>
      </c>
      <c r="V20" s="2"/>
      <c r="X20" s="2"/>
      <c r="Y20" s="2"/>
      <c r="Z20" s="2"/>
    </row>
    <row r="21" spans="2:26" x14ac:dyDescent="0.25">
      <c r="B21" s="87" t="str">
        <f>"Obdelava kom. odpadkov - infrastruktura  ("&amp;IF($C$11&lt;&gt;"",C11&amp;" l",0)&amp;")"</f>
        <v>Obdelava kom. odpadkov - infrastruktura  (0)</v>
      </c>
      <c r="C21" s="44" t="s">
        <v>61</v>
      </c>
      <c r="D21" s="57">
        <f>IF($C$11&lt;&gt;"",IF($C$10="tedensko",VLOOKUP($C$11,$T$45:$Z$50,7,FALSE),VLOOKUP($C$11,$L$45:$R$50,7,FALSE)),0)</f>
        <v>0</v>
      </c>
      <c r="E21" s="58">
        <f t="shared" si="3"/>
        <v>0</v>
      </c>
      <c r="F21" s="59">
        <f>IF($D$21&lt;&gt;0,$C$12,0)</f>
        <v>0</v>
      </c>
      <c r="G21" s="59">
        <f t="shared" si="0"/>
        <v>0</v>
      </c>
      <c r="H21" s="60">
        <f t="shared" si="1"/>
        <v>0</v>
      </c>
      <c r="I21" s="61">
        <f t="shared" si="2"/>
        <v>0</v>
      </c>
      <c r="J21" s="1"/>
      <c r="L21" s="2" t="str">
        <f>IF(VLOOKUP($C$7,$L$13:$R$15,3,FALSE)=0,"",VLOOKUP($C$7,$L$13:$R$15,3,FALSE))</f>
        <v>na 3 tedne</v>
      </c>
      <c r="M21" s="2">
        <f>IF($L21="tedensko",1,IF($L21="na 3 tedne",0.3333,""))</f>
        <v>0.33329999999999999</v>
      </c>
      <c r="N21" s="2" t="str">
        <f>IF(VLOOKUP($C$7,$L$13:$R$15,5,FALSE)=0,"",VLOOKUP($C$7,$L$13:$R$15,5,FALSE))</f>
        <v>na 14 dni</v>
      </c>
      <c r="O21" s="2">
        <f>IF($N21="tedensko",1,IF($N21="na 14 dni",0.5,""))</f>
        <v>0.5</v>
      </c>
      <c r="P21" s="2" t="str">
        <f>IF(VLOOKUP($C$7,$L$13:$R$15,7,FALSE)=0,"",VLOOKUP($C$7,$L$13:$R$15,7,FALSE))</f>
        <v>na 14 dni</v>
      </c>
      <c r="Q21" s="2">
        <f>IF($P21="tedensko",1,IF($P21="na 14 dni",0.5,""))</f>
        <v>0.5</v>
      </c>
      <c r="S21" s="3"/>
      <c r="T21" s="19" t="s">
        <v>38</v>
      </c>
      <c r="U21" s="19">
        <v>5</v>
      </c>
      <c r="V21" s="2"/>
      <c r="W21" s="2"/>
      <c r="X21" s="2"/>
      <c r="Y21" s="2"/>
      <c r="Z21" s="2"/>
    </row>
    <row r="22" spans="2:26" x14ac:dyDescent="0.25">
      <c r="B22" s="87" t="str">
        <f>"Odlaganje kom. odpadkov - storitev  ("&amp;IF($C$11&lt;&gt;"",C11&amp;" l",0)&amp;")"</f>
        <v>Odlaganje kom. odpadkov - storitev  (0)</v>
      </c>
      <c r="C22" s="44" t="s">
        <v>61</v>
      </c>
      <c r="D22" s="57">
        <f>IF($C$11&lt;&gt;"",IF($C$10="tedensko",VLOOKUP($C$11,$T$52:$Z$57,7,FALSE),VLOOKUP($C$11,$L$52:$R$57,7,FALSE)),0)</f>
        <v>0</v>
      </c>
      <c r="E22" s="58">
        <f t="shared" si="3"/>
        <v>0</v>
      </c>
      <c r="F22" s="59">
        <f>IF($D$22&lt;&gt;0,$C$12,0)</f>
        <v>0</v>
      </c>
      <c r="G22" s="59">
        <f t="shared" si="0"/>
        <v>0</v>
      </c>
      <c r="H22" s="60">
        <f t="shared" si="1"/>
        <v>0</v>
      </c>
      <c r="I22" s="61">
        <f t="shared" si="2"/>
        <v>0</v>
      </c>
      <c r="J22" s="1"/>
      <c r="N22" s="3"/>
      <c r="O22" s="3"/>
      <c r="P22" s="3"/>
      <c r="S22" s="3"/>
      <c r="V22" s="2"/>
      <c r="W22" s="2"/>
      <c r="X22" s="2"/>
      <c r="Y22" s="2"/>
      <c r="Z22" s="2"/>
    </row>
    <row r="23" spans="2:26" ht="16.5" thickBot="1" x14ac:dyDescent="0.3">
      <c r="B23" s="87" t="str">
        <f>"Odlaganje kom. odpadkov - infrastruktura  ("&amp;IF($C$11&lt;&gt;"",C11&amp;" l",0)&amp;")"</f>
        <v>Odlaganje kom. odpadkov - infrastruktura  (0)</v>
      </c>
      <c r="C23" s="44" t="s">
        <v>61</v>
      </c>
      <c r="D23" s="57">
        <f>IF($C$11&lt;&gt;"",IF($C$10="tedensko",VLOOKUP($C$11,$T$52:$Z$57,7,FALSE),VLOOKUP($C$11,$L$52:$R$57,7,FALSE)),0)</f>
        <v>0</v>
      </c>
      <c r="E23" s="58">
        <f t="shared" si="3"/>
        <v>0</v>
      </c>
      <c r="F23" s="59">
        <f>IF($D$23&lt;&gt;0,$C$12,0)</f>
        <v>0</v>
      </c>
      <c r="G23" s="59">
        <f t="shared" si="0"/>
        <v>0</v>
      </c>
      <c r="H23" s="60">
        <f t="shared" si="1"/>
        <v>0</v>
      </c>
      <c r="I23" s="61">
        <f t="shared" si="2"/>
        <v>0</v>
      </c>
      <c r="J23" s="1"/>
      <c r="L23" s="2" t="s">
        <v>74</v>
      </c>
      <c r="M23" s="2" t="s">
        <v>68</v>
      </c>
      <c r="T23" s="2" t="s">
        <v>78</v>
      </c>
      <c r="V23" s="2"/>
      <c r="W23" s="2"/>
      <c r="X23" s="2"/>
      <c r="Y23" s="2"/>
      <c r="Z23" s="2"/>
    </row>
    <row r="24" spans="2:26" x14ac:dyDescent="0.25">
      <c r="B24" s="41" t="str">
        <f>"Zbiranje embalaže - storitev  ("&amp;IF($E$11&lt;&gt;"",E11&amp;" l",0)&amp;")"</f>
        <v>Zbiranje embalaže - storitev  (0)</v>
      </c>
      <c r="C24" s="42" t="s">
        <v>61</v>
      </c>
      <c r="D24" s="67">
        <f>IF($E$11&lt;&gt;"",IF($E$10="tedensko",VLOOKUP($E$11,$T$31:$Z$36,7,FALSE),VLOOKUP($E$11,$L$31:$R$36,7,FALSE)),0)</f>
        <v>0</v>
      </c>
      <c r="E24" s="53">
        <f>IF($E$11&lt;&gt;"",$R$75,0)</f>
        <v>0</v>
      </c>
      <c r="F24" s="54">
        <f>IF($E$12&lt;&gt;"",$E$12,0)</f>
        <v>0</v>
      </c>
      <c r="G24" s="54">
        <f>ROUND(E24*D24*F24,2)</f>
        <v>0</v>
      </c>
      <c r="H24" s="55">
        <f>IF(G24&lt;&gt;0,0.095,0)</f>
        <v>0</v>
      </c>
      <c r="I24" s="56">
        <f>ROUND(G24*1.095,2)</f>
        <v>0</v>
      </c>
      <c r="J24" s="1"/>
      <c r="L24" s="69" t="s">
        <v>71</v>
      </c>
      <c r="M24" s="2" t="s">
        <v>4</v>
      </c>
      <c r="N24" s="2" t="s">
        <v>5</v>
      </c>
      <c r="O24" s="2" t="s">
        <v>6</v>
      </c>
      <c r="Q24" s="2" t="s">
        <v>8</v>
      </c>
      <c r="R24" s="69" t="str">
        <f>HLOOKUP($C$7,M24:Q37,1,FALSE)</f>
        <v>MOK</v>
      </c>
      <c r="T24" s="69" t="s">
        <v>71</v>
      </c>
      <c r="U24" s="2" t="s">
        <v>4</v>
      </c>
      <c r="V24" s="2" t="s">
        <v>5</v>
      </c>
      <c r="W24" s="2" t="s">
        <v>6</v>
      </c>
      <c r="X24" s="2"/>
      <c r="Y24" s="2" t="s">
        <v>8</v>
      </c>
      <c r="Z24" s="69" t="str">
        <f>HLOOKUP($C$7,U24:Y29,1,FALSE)</f>
        <v>MOK</v>
      </c>
    </row>
    <row r="25" spans="2:26" ht="16.5" thickBot="1" x14ac:dyDescent="0.3">
      <c r="B25" s="43" t="str">
        <f>"Zbiranje embalaže - infrastruktura  ("&amp;IF($E$10&lt;&gt;"",E11&amp;" l",0)&amp;")"</f>
        <v>Zbiranje embalaže - infrastruktura  (0)</v>
      </c>
      <c r="C25" s="44" t="s">
        <v>61</v>
      </c>
      <c r="D25" s="57">
        <f>IF($E$11&lt;&gt;"",IF($E$10="tedensko",VLOOKUP($E$11,$T$31:$Z$36,7,FALSE),VLOOKUP($E$11,$L$31:$R$36,7,FALSE)),0)</f>
        <v>0</v>
      </c>
      <c r="E25" s="58">
        <f>IF($E$11&lt;&gt;"",$R$76,0)</f>
        <v>0</v>
      </c>
      <c r="F25" s="59">
        <f>IF($E$12&lt;&gt;"",$E$12,0)</f>
        <v>0</v>
      </c>
      <c r="G25" s="59">
        <f>ROUND(E25*D25*F25,2)</f>
        <v>0</v>
      </c>
      <c r="H25" s="60">
        <f>IF(G25&lt;&gt;0,0.095,0)</f>
        <v>0</v>
      </c>
      <c r="I25" s="61">
        <f>ROUND(G25*1.095,2)</f>
        <v>0</v>
      </c>
      <c r="J25" s="1"/>
      <c r="L25" s="2">
        <v>80</v>
      </c>
      <c r="M25" s="111">
        <v>34.130000000000003</v>
      </c>
      <c r="O25" s="111">
        <v>34.130000000000003</v>
      </c>
      <c r="P25" s="111"/>
      <c r="Q25" s="111">
        <v>34.130000000000003</v>
      </c>
      <c r="R25" s="70">
        <f>HLOOKUP($C$7,M24:Q30,2,FALSE)</f>
        <v>34.130000000000003</v>
      </c>
      <c r="T25" s="2">
        <v>80</v>
      </c>
      <c r="U25" s="111">
        <v>101.93</v>
      </c>
      <c r="V25" s="2"/>
      <c r="W25" s="3"/>
      <c r="X25" s="28"/>
      <c r="Y25" s="2"/>
      <c r="Z25" s="111">
        <v>101.93</v>
      </c>
    </row>
    <row r="26" spans="2:26" ht="16.5" thickBot="1" x14ac:dyDescent="0.3">
      <c r="B26" s="100" t="str">
        <f>"Zbiranje bioloških odp. - storitev  ("&amp;IF($G$11&lt;&gt;"",G11&amp;" l",0)&amp;")"</f>
        <v>Zbiranje bioloških odp. - storitev  (0)</v>
      </c>
      <c r="C26" s="101" t="s">
        <v>61</v>
      </c>
      <c r="D26" s="102">
        <f>IF($G$11&lt;&gt;"",ROUND($G$11*VLOOKUP($C$7,$O$59:$P$64,2,FALSE)*4.3*$G$12,4),0)</f>
        <v>0</v>
      </c>
      <c r="E26" s="103">
        <f>IF($G$11&lt;&gt;"",VLOOKUP($C$7,$L$59:$M$64,2,FALSE),0)</f>
        <v>0</v>
      </c>
      <c r="F26" s="104">
        <f>IF($G$10&lt;&gt;"",VLOOKUP($G$10,$P$20:$Q$21,2,FALSE),0)</f>
        <v>0</v>
      </c>
      <c r="G26" s="104">
        <f>ROUND(E26*D26*F26,2)</f>
        <v>0</v>
      </c>
      <c r="H26" s="105">
        <f>IF(G26&lt;&gt;0,0.095,0)</f>
        <v>0</v>
      </c>
      <c r="I26" s="106">
        <f>ROUND(G26*1.095,2)</f>
        <v>0</v>
      </c>
      <c r="J26" s="1"/>
      <c r="L26" s="2">
        <v>120</v>
      </c>
      <c r="M26" s="111">
        <v>41.98</v>
      </c>
      <c r="O26" s="111">
        <v>41.98</v>
      </c>
      <c r="P26" s="111"/>
      <c r="Q26" s="111">
        <v>41.98</v>
      </c>
      <c r="R26" s="70">
        <f>HLOOKUP($C$7,M24:Q30,3,FALSE)</f>
        <v>41.98</v>
      </c>
      <c r="T26" s="2">
        <v>120</v>
      </c>
      <c r="U26" s="111">
        <v>125.37</v>
      </c>
      <c r="V26" s="2"/>
      <c r="W26" s="3"/>
      <c r="X26" s="28"/>
      <c r="Y26" s="2"/>
      <c r="Z26" s="111">
        <v>125.37</v>
      </c>
    </row>
    <row r="27" spans="2:26" ht="16.5" thickBot="1" x14ac:dyDescent="0.3">
      <c r="B27" s="47" t="s">
        <v>79</v>
      </c>
      <c r="C27" s="48"/>
      <c r="D27" s="48"/>
      <c r="E27" s="48"/>
      <c r="F27" s="48"/>
      <c r="G27" s="49">
        <f>SUM(G18:G26)</f>
        <v>0</v>
      </c>
      <c r="H27" s="49"/>
      <c r="I27" s="50">
        <f>SUM(I18:I26)</f>
        <v>0</v>
      </c>
      <c r="J27" s="1"/>
      <c r="L27" s="2">
        <v>240</v>
      </c>
      <c r="M27" s="111">
        <v>68.61</v>
      </c>
      <c r="O27" s="111">
        <v>68.61</v>
      </c>
      <c r="P27" s="111"/>
      <c r="Q27" s="111">
        <v>68.61</v>
      </c>
      <c r="R27" s="70">
        <f>HLOOKUP($C$7,M24:Q29,4,FALSE)</f>
        <v>68.61</v>
      </c>
      <c r="T27" s="2">
        <v>240</v>
      </c>
      <c r="U27" s="111">
        <v>204.87</v>
      </c>
      <c r="V27" s="2"/>
      <c r="W27" s="3"/>
      <c r="X27" s="28"/>
      <c r="Y27" s="2"/>
      <c r="Z27" s="111">
        <v>204.87</v>
      </c>
    </row>
    <row r="28" spans="2:26" x14ac:dyDescent="0.25">
      <c r="C28" s="26"/>
      <c r="D28" s="27"/>
      <c r="J28" s="1"/>
      <c r="L28" s="2">
        <v>660</v>
      </c>
      <c r="M28" s="111">
        <v>177.41</v>
      </c>
      <c r="O28" s="111">
        <v>177.41</v>
      </c>
      <c r="P28" s="111"/>
      <c r="Q28" s="111">
        <v>177.41</v>
      </c>
      <c r="R28" s="70">
        <f>HLOOKUP($C$7,M24:Q29,5,FALSE)</f>
        <v>177.41</v>
      </c>
      <c r="T28" s="2">
        <v>660</v>
      </c>
      <c r="U28" s="111">
        <v>529.77</v>
      </c>
      <c r="V28" s="2"/>
      <c r="W28" s="3"/>
      <c r="X28" s="28"/>
      <c r="Y28" s="2"/>
      <c r="Z28" s="111">
        <v>529.77</v>
      </c>
    </row>
    <row r="29" spans="2:26" x14ac:dyDescent="0.25">
      <c r="J29" s="1"/>
      <c r="L29" s="2">
        <v>1100</v>
      </c>
      <c r="M29" s="111">
        <v>281.60000000000002</v>
      </c>
      <c r="O29" s="111">
        <v>281.60000000000002</v>
      </c>
      <c r="P29" s="111"/>
      <c r="Q29" s="111">
        <v>281.60000000000002</v>
      </c>
      <c r="R29" s="70">
        <f>HLOOKUP($C$7,M24:Q29,6,FALSE)</f>
        <v>281.60000000000002</v>
      </c>
      <c r="T29" s="2">
        <v>1100</v>
      </c>
      <c r="U29" s="111">
        <v>840.9</v>
      </c>
      <c r="V29" s="2"/>
      <c r="W29" s="2"/>
      <c r="X29" s="28"/>
      <c r="Y29" s="2"/>
      <c r="Z29" s="111">
        <v>840.9</v>
      </c>
    </row>
    <row r="30" spans="2:26" x14ac:dyDescent="0.25">
      <c r="J30" s="1"/>
      <c r="O30" s="3"/>
      <c r="R30" s="70"/>
      <c r="U30" s="2"/>
      <c r="V30" s="2"/>
      <c r="W30" s="3"/>
      <c r="X30" s="2"/>
      <c r="Y30" s="2"/>
      <c r="Z30" s="70"/>
    </row>
    <row r="31" spans="2:26" x14ac:dyDescent="0.25">
      <c r="J31" s="1"/>
      <c r="L31" s="20" t="s">
        <v>72</v>
      </c>
      <c r="M31" s="2" t="s">
        <v>4</v>
      </c>
      <c r="N31" s="2" t="s">
        <v>5</v>
      </c>
      <c r="O31" s="2" t="s">
        <v>6</v>
      </c>
      <c r="Q31" s="2" t="s">
        <v>8</v>
      </c>
      <c r="R31" s="20" t="str">
        <f>HLOOKUP($C$7,M31:Q36,1,FALSE)</f>
        <v>MOK</v>
      </c>
      <c r="T31" s="20" t="s">
        <v>72</v>
      </c>
      <c r="U31" s="2" t="s">
        <v>4</v>
      </c>
      <c r="V31" s="2" t="s">
        <v>5</v>
      </c>
      <c r="W31" s="2" t="s">
        <v>6</v>
      </c>
      <c r="X31" s="2"/>
      <c r="Y31" s="2" t="s">
        <v>8</v>
      </c>
      <c r="Z31" s="20" t="str">
        <f>HLOOKUP($C$7,U31:Y36,1,FALSE)</f>
        <v>MOK</v>
      </c>
    </row>
    <row r="32" spans="2:26" x14ac:dyDescent="0.25">
      <c r="J32" s="1"/>
      <c r="L32" s="2">
        <v>80</v>
      </c>
      <c r="O32" s="3"/>
      <c r="P32" s="28"/>
      <c r="R32" s="22">
        <f>HLOOKUP($C$7,M31:Q36,2,FALSE)</f>
        <v>0</v>
      </c>
      <c r="T32" s="2">
        <v>80</v>
      </c>
      <c r="U32" s="2"/>
      <c r="V32" s="2"/>
      <c r="W32" s="3"/>
      <c r="X32" s="28"/>
      <c r="Y32" s="2"/>
      <c r="Z32" s="22">
        <f>HLOOKUP($C$7,U31:Y36,2,FALSE)</f>
        <v>0</v>
      </c>
    </row>
    <row r="33" spans="12:26" x14ac:dyDescent="0.25">
      <c r="L33" s="2">
        <v>120</v>
      </c>
      <c r="M33" s="111">
        <v>31.59</v>
      </c>
      <c r="O33" s="111">
        <v>31.59</v>
      </c>
      <c r="P33" s="111"/>
      <c r="Q33" s="111">
        <v>31.59</v>
      </c>
      <c r="R33" s="22">
        <f>HLOOKUP($C$7,M31:Q36,3,FALSE)</f>
        <v>31.59</v>
      </c>
      <c r="T33" s="2">
        <v>120</v>
      </c>
      <c r="U33" s="111">
        <v>62.96</v>
      </c>
      <c r="V33" s="2"/>
      <c r="W33" s="111">
        <v>62.96</v>
      </c>
      <c r="X33" s="111"/>
      <c r="Y33" s="111">
        <v>62.96</v>
      </c>
      <c r="Z33" s="111">
        <v>62.96</v>
      </c>
    </row>
    <row r="34" spans="12:26" x14ac:dyDescent="0.25">
      <c r="L34" s="2">
        <v>240</v>
      </c>
      <c r="M34" s="111">
        <v>51.62</v>
      </c>
      <c r="O34" s="111">
        <v>51.62</v>
      </c>
      <c r="P34" s="111"/>
      <c r="Q34" s="111">
        <v>51.62</v>
      </c>
      <c r="R34" s="22">
        <f>HLOOKUP($C$7,M31:Q36,4,FALSE)</f>
        <v>51.62</v>
      </c>
      <c r="T34" s="2">
        <v>240</v>
      </c>
      <c r="U34" s="111">
        <v>102.44</v>
      </c>
      <c r="V34" s="2"/>
      <c r="W34" s="111">
        <v>102.44</v>
      </c>
      <c r="X34" s="111"/>
      <c r="Y34" s="111">
        <v>102.44</v>
      </c>
      <c r="Z34" s="111">
        <v>102.44</v>
      </c>
    </row>
    <row r="35" spans="12:26" x14ac:dyDescent="0.25">
      <c r="L35" s="2">
        <v>660</v>
      </c>
      <c r="M35" s="111">
        <v>133.47</v>
      </c>
      <c r="O35" s="111">
        <v>133.47</v>
      </c>
      <c r="P35" s="111"/>
      <c r="Q35" s="111">
        <v>133.47</v>
      </c>
      <c r="R35" s="22">
        <f>HLOOKUP($C$7,M31:Q36,5,FALSE)</f>
        <v>133.47</v>
      </c>
      <c r="T35" s="2">
        <v>660</v>
      </c>
      <c r="U35" s="111">
        <v>264.88</v>
      </c>
      <c r="V35" s="2"/>
      <c r="W35" s="111">
        <v>264.88</v>
      </c>
      <c r="X35" s="111"/>
      <c r="Y35" s="111">
        <v>264.88</v>
      </c>
      <c r="Z35" s="111">
        <v>264.88</v>
      </c>
    </row>
    <row r="36" spans="12:26" x14ac:dyDescent="0.25">
      <c r="L36" s="2">
        <v>1100</v>
      </c>
      <c r="M36" s="111">
        <v>211.85</v>
      </c>
      <c r="O36" s="111">
        <v>211.85</v>
      </c>
      <c r="P36" s="111"/>
      <c r="Q36" s="111">
        <v>211.85</v>
      </c>
      <c r="R36" s="22">
        <f>HLOOKUP($C$7,M31:Q36,6,FALSE)</f>
        <v>211.85</v>
      </c>
      <c r="T36" s="2">
        <v>1100</v>
      </c>
      <c r="U36" s="111">
        <v>420.45</v>
      </c>
      <c r="V36" s="2"/>
      <c r="W36" s="111">
        <v>420.45</v>
      </c>
      <c r="X36" s="111"/>
      <c r="Y36" s="111">
        <v>420.45</v>
      </c>
      <c r="Z36" s="111">
        <v>420.45</v>
      </c>
    </row>
    <row r="37" spans="12:26" x14ac:dyDescent="0.25">
      <c r="R37" s="22"/>
      <c r="S37" s="2">
        <v>0.5</v>
      </c>
      <c r="W37" s="2">
        <v>0.67830000000000001</v>
      </c>
      <c r="Z37" s="2">
        <v>22</v>
      </c>
    </row>
    <row r="38" spans="12:26" x14ac:dyDescent="0.25">
      <c r="L38" s="71" t="s">
        <v>73</v>
      </c>
      <c r="M38" s="2" t="s">
        <v>4</v>
      </c>
      <c r="N38" s="2" t="s">
        <v>5</v>
      </c>
      <c r="O38" s="2" t="s">
        <v>6</v>
      </c>
      <c r="Q38" s="2" t="s">
        <v>8</v>
      </c>
      <c r="R38" s="71" t="str">
        <f>HLOOKUP($C$7,M38:Q44,1,FALSE)</f>
        <v>MOK</v>
      </c>
      <c r="S38" s="2">
        <v>1</v>
      </c>
      <c r="T38" s="71" t="s">
        <v>73</v>
      </c>
      <c r="U38" s="2" t="s">
        <v>4</v>
      </c>
      <c r="V38" s="2" t="s">
        <v>5</v>
      </c>
      <c r="W38" s="2" t="s">
        <v>6</v>
      </c>
      <c r="X38" s="2"/>
      <c r="Y38" s="2" t="s">
        <v>8</v>
      </c>
      <c r="Z38" s="71" t="str">
        <f>HLOOKUP($C$7,U38:Y43,1,FALSE)</f>
        <v>MOK</v>
      </c>
    </row>
    <row r="39" spans="12:26" x14ac:dyDescent="0.25">
      <c r="L39" s="2">
        <v>80</v>
      </c>
      <c r="M39" s="68"/>
      <c r="N39" s="68"/>
      <c r="O39" s="86"/>
      <c r="P39" s="86"/>
      <c r="Q39" s="86"/>
      <c r="R39" s="72">
        <f>HLOOKUP($C$7,M38:Q44,2,FALSE)</f>
        <v>0</v>
      </c>
      <c r="S39" s="2">
        <v>2</v>
      </c>
      <c r="T39" s="2">
        <v>80</v>
      </c>
      <c r="U39" s="68"/>
      <c r="V39" s="68"/>
      <c r="W39" s="28"/>
      <c r="X39" s="28"/>
      <c r="Y39" s="28"/>
      <c r="Z39" s="72">
        <f>HLOOKUP($C$7,U38:Y43,2,FALSE)</f>
        <v>0</v>
      </c>
    </row>
    <row r="40" spans="12:26" x14ac:dyDescent="0.25">
      <c r="L40" s="2">
        <v>120</v>
      </c>
      <c r="M40" s="68"/>
      <c r="N40" s="68"/>
      <c r="O40" s="86"/>
      <c r="P40" s="86"/>
      <c r="Q40" s="86"/>
      <c r="R40" s="72">
        <f>HLOOKUP($C$7,M38:Q44,3,FALSE)</f>
        <v>0</v>
      </c>
      <c r="S40" s="2">
        <v>3</v>
      </c>
      <c r="T40" s="2">
        <v>120</v>
      </c>
      <c r="U40" s="68"/>
      <c r="V40" s="68"/>
      <c r="W40" s="28"/>
      <c r="X40" s="28"/>
      <c r="Y40" s="28"/>
      <c r="Z40" s="72">
        <f>HLOOKUP($C$7,U38:Y43,3,FALSE)</f>
        <v>0</v>
      </c>
    </row>
    <row r="41" spans="12:26" x14ac:dyDescent="0.25">
      <c r="L41" s="2">
        <v>240</v>
      </c>
      <c r="M41" s="68"/>
      <c r="N41" s="68"/>
      <c r="O41" s="86"/>
      <c r="P41" s="86"/>
      <c r="Q41" s="86"/>
      <c r="R41" s="72">
        <f>HLOOKUP($C$7,M38:Q44,4,FALSE)</f>
        <v>0</v>
      </c>
      <c r="S41" s="2">
        <v>4</v>
      </c>
      <c r="T41" s="2">
        <v>240</v>
      </c>
      <c r="U41" s="68"/>
      <c r="V41" s="68"/>
      <c r="W41" s="28"/>
      <c r="X41" s="28"/>
      <c r="Y41" s="28"/>
      <c r="Z41" s="72">
        <f>HLOOKUP($C$7,U38:Y43,4,FALSE)</f>
        <v>0</v>
      </c>
    </row>
    <row r="42" spans="12:26" x14ac:dyDescent="0.25">
      <c r="L42" s="2">
        <v>660</v>
      </c>
      <c r="M42" s="68"/>
      <c r="N42" s="68"/>
      <c r="O42" s="86"/>
      <c r="P42" s="86"/>
      <c r="Q42" s="86"/>
      <c r="R42" s="72">
        <f>HLOOKUP($C$7,M38:Q44,5,FALSE)</f>
        <v>0</v>
      </c>
      <c r="S42" s="2">
        <v>5</v>
      </c>
      <c r="T42" s="2">
        <v>660</v>
      </c>
      <c r="U42" s="68"/>
      <c r="V42" s="68"/>
      <c r="W42" s="28"/>
      <c r="X42" s="28"/>
      <c r="Y42" s="28"/>
      <c r="Z42" s="72">
        <f>HLOOKUP($C$7,U38:Y43,5,FALSE)</f>
        <v>0</v>
      </c>
    </row>
    <row r="43" spans="12:26" x14ac:dyDescent="0.25">
      <c r="L43" s="2">
        <v>1100</v>
      </c>
      <c r="M43" s="68"/>
      <c r="N43" s="68"/>
      <c r="O43" s="86"/>
      <c r="P43" s="86"/>
      <c r="Q43" s="86"/>
      <c r="R43" s="72">
        <f>HLOOKUP($C$7,M38:Q44,6,FALSE)</f>
        <v>0</v>
      </c>
      <c r="S43" s="2">
        <v>6</v>
      </c>
      <c r="T43" s="2">
        <v>1100</v>
      </c>
      <c r="U43" s="68"/>
      <c r="V43" s="68"/>
      <c r="W43" s="28"/>
      <c r="X43" s="28"/>
      <c r="Y43" s="28"/>
      <c r="Z43" s="72">
        <f>HLOOKUP($C$7,U38:Y43,6,FALSE)</f>
        <v>0</v>
      </c>
    </row>
    <row r="44" spans="12:26" x14ac:dyDescent="0.25">
      <c r="M44" s="68"/>
      <c r="N44" s="68"/>
      <c r="O44" s="28"/>
      <c r="P44" s="28"/>
      <c r="Q44" s="28"/>
      <c r="R44" s="72"/>
      <c r="S44" s="2">
        <v>7</v>
      </c>
      <c r="W44" s="2"/>
      <c r="Z44" s="2"/>
    </row>
    <row r="45" spans="12:26" x14ac:dyDescent="0.25">
      <c r="L45" s="97" t="s">
        <v>95</v>
      </c>
      <c r="M45" s="2" t="s">
        <v>4</v>
      </c>
      <c r="N45" s="2" t="s">
        <v>5</v>
      </c>
      <c r="O45" s="2" t="s">
        <v>6</v>
      </c>
      <c r="Q45" s="2" t="s">
        <v>8</v>
      </c>
      <c r="R45" s="97" t="str">
        <f>HLOOKUP($C$7,M45:Q51,1,FALSE)</f>
        <v>MOK</v>
      </c>
      <c r="S45" s="2">
        <v>8</v>
      </c>
      <c r="T45" s="97" t="s">
        <v>95</v>
      </c>
      <c r="U45" s="2" t="s">
        <v>4</v>
      </c>
      <c r="V45" s="2" t="s">
        <v>5</v>
      </c>
      <c r="W45" s="2" t="s">
        <v>6</v>
      </c>
      <c r="X45" s="2"/>
      <c r="Y45" s="2" t="s">
        <v>8</v>
      </c>
      <c r="Z45" s="97" t="str">
        <f>HLOOKUP($C$7,U45:Y50,1,FALSE)</f>
        <v>MOK</v>
      </c>
    </row>
    <row r="46" spans="12:26" x14ac:dyDescent="0.25">
      <c r="L46" s="2">
        <v>80</v>
      </c>
      <c r="M46" s="68">
        <v>12.13</v>
      </c>
      <c r="N46" s="68"/>
      <c r="O46" s="68">
        <v>12.13</v>
      </c>
      <c r="P46" s="68"/>
      <c r="Q46" s="68">
        <v>12.13</v>
      </c>
      <c r="R46" s="98">
        <f>HLOOKUP($C$7,M45:Q51,2,FALSE)</f>
        <v>12.13</v>
      </c>
      <c r="S46" s="2">
        <v>9</v>
      </c>
      <c r="T46" s="2">
        <v>80</v>
      </c>
      <c r="U46" s="68">
        <v>36.22</v>
      </c>
      <c r="V46" s="68"/>
      <c r="W46" s="86"/>
      <c r="X46" s="86"/>
      <c r="Y46" s="86"/>
      <c r="Z46" s="98">
        <f>HLOOKUP($C$7,U45:Y50,2,FALSE)</f>
        <v>36.22</v>
      </c>
    </row>
    <row r="47" spans="12:26" x14ac:dyDescent="0.25">
      <c r="L47" s="2">
        <v>120</v>
      </c>
      <c r="M47" s="68">
        <v>18.2</v>
      </c>
      <c r="N47" s="68"/>
      <c r="O47" s="68">
        <v>18.2</v>
      </c>
      <c r="P47" s="68"/>
      <c r="Q47" s="68">
        <v>18.2</v>
      </c>
      <c r="R47" s="98">
        <f>HLOOKUP($C$7,M45:Q51,3,FALSE)</f>
        <v>18.2</v>
      </c>
      <c r="S47" s="2">
        <v>10</v>
      </c>
      <c r="T47" s="2">
        <v>120</v>
      </c>
      <c r="U47" s="68">
        <v>54.33</v>
      </c>
      <c r="V47" s="68"/>
      <c r="W47" s="86"/>
      <c r="X47" s="86"/>
      <c r="Y47" s="86"/>
      <c r="Z47" s="98">
        <f>HLOOKUP($C$7,U45:Y50,3,FALSE)</f>
        <v>54.33</v>
      </c>
    </row>
    <row r="48" spans="12:26" x14ac:dyDescent="0.25">
      <c r="L48" s="2">
        <v>240</v>
      </c>
      <c r="M48" s="68">
        <v>36.39</v>
      </c>
      <c r="N48" s="68"/>
      <c r="O48" s="68">
        <v>36.39</v>
      </c>
      <c r="P48" s="68"/>
      <c r="Q48" s="68">
        <v>36.39</v>
      </c>
      <c r="R48" s="98">
        <f>HLOOKUP($C$7,M45:Q51,4,FALSE)</f>
        <v>36.39</v>
      </c>
      <c r="T48" s="2">
        <v>240</v>
      </c>
      <c r="U48" s="68">
        <v>108.67</v>
      </c>
      <c r="V48" s="68"/>
      <c r="W48" s="86"/>
      <c r="X48" s="86"/>
      <c r="Y48" s="86"/>
      <c r="Z48" s="98">
        <f>HLOOKUP($C$7,U45:Y50,4,FALSE)</f>
        <v>108.67</v>
      </c>
    </row>
    <row r="49" spans="12:26" x14ac:dyDescent="0.25">
      <c r="L49" s="2">
        <v>660</v>
      </c>
      <c r="M49" s="68">
        <v>100.08</v>
      </c>
      <c r="N49" s="68"/>
      <c r="O49" s="68">
        <v>100.08</v>
      </c>
      <c r="P49" s="68"/>
      <c r="Q49" s="68">
        <v>100.08</v>
      </c>
      <c r="R49" s="98">
        <f>HLOOKUP($C$7,M45:Q51,5,FALSE)</f>
        <v>100.08</v>
      </c>
      <c r="T49" s="2">
        <v>660</v>
      </c>
      <c r="U49" s="68">
        <v>298.83999999999997</v>
      </c>
      <c r="V49" s="68"/>
      <c r="W49" s="86"/>
      <c r="X49" s="86"/>
      <c r="Y49" s="86"/>
      <c r="Z49" s="98">
        <f>HLOOKUP($C$7,U45:Y50,5,FALSE)</f>
        <v>298.83999999999997</v>
      </c>
    </row>
    <row r="50" spans="12:26" x14ac:dyDescent="0.25">
      <c r="L50" s="2">
        <v>1100</v>
      </c>
      <c r="M50" s="68">
        <v>166.8</v>
      </c>
      <c r="N50" s="68"/>
      <c r="O50" s="68">
        <v>166.8</v>
      </c>
      <c r="P50" s="68"/>
      <c r="Q50" s="68">
        <v>166.8</v>
      </c>
      <c r="R50" s="98">
        <f>HLOOKUP($C$7,M45:Q51,6,FALSE)</f>
        <v>166.8</v>
      </c>
      <c r="T50" s="2">
        <v>1100</v>
      </c>
      <c r="U50" s="68">
        <v>498.07</v>
      </c>
      <c r="V50" s="68"/>
      <c r="W50" s="86"/>
      <c r="X50" s="86"/>
      <c r="Y50" s="86"/>
      <c r="Z50" s="98">
        <f>HLOOKUP($C$7,U45:Y50,6,FALSE)</f>
        <v>498.07</v>
      </c>
    </row>
    <row r="51" spans="12:26" x14ac:dyDescent="0.25">
      <c r="M51" s="68"/>
      <c r="N51" s="68"/>
      <c r="O51" s="28"/>
      <c r="P51" s="28"/>
      <c r="Q51" s="28"/>
      <c r="R51" s="98"/>
      <c r="U51" s="68"/>
      <c r="V51" s="68"/>
      <c r="W51" s="28"/>
      <c r="X51" s="28"/>
      <c r="Y51" s="28"/>
      <c r="Z51" s="98"/>
    </row>
    <row r="52" spans="12:26" x14ac:dyDescent="0.25">
      <c r="L52" s="95" t="s">
        <v>94</v>
      </c>
      <c r="M52" s="2" t="s">
        <v>4</v>
      </c>
      <c r="N52" s="2" t="s">
        <v>5</v>
      </c>
      <c r="O52" s="2" t="s">
        <v>6</v>
      </c>
      <c r="Q52" s="2" t="s">
        <v>8</v>
      </c>
      <c r="R52" s="95" t="str">
        <f>HLOOKUP($C$7,M52:Q58,1,FALSE)</f>
        <v>MOK</v>
      </c>
      <c r="T52" s="95" t="s">
        <v>94</v>
      </c>
      <c r="U52" s="2" t="s">
        <v>4</v>
      </c>
      <c r="V52" s="2" t="s">
        <v>5</v>
      </c>
      <c r="W52" s="2" t="s">
        <v>6</v>
      </c>
      <c r="X52" s="2"/>
      <c r="Y52" s="2" t="s">
        <v>8</v>
      </c>
      <c r="Z52" s="95" t="str">
        <f>HLOOKUP($C$7,U52:Y57,1,FALSE)</f>
        <v>MOK</v>
      </c>
    </row>
    <row r="53" spans="12:26" x14ac:dyDescent="0.25">
      <c r="L53" s="2">
        <v>80</v>
      </c>
      <c r="M53" s="68">
        <v>2.27</v>
      </c>
      <c r="N53" s="68"/>
      <c r="O53" s="68">
        <v>2.27</v>
      </c>
      <c r="P53" s="68"/>
      <c r="Q53" s="68">
        <v>2.27</v>
      </c>
      <c r="R53" s="96">
        <f>HLOOKUP($C$7,M52:Q58,2,FALSE)</f>
        <v>2.27</v>
      </c>
      <c r="T53" s="2">
        <v>80</v>
      </c>
      <c r="U53" s="112">
        <v>6.78</v>
      </c>
      <c r="V53" s="68"/>
      <c r="W53" s="86"/>
      <c r="X53" s="86"/>
      <c r="Y53" s="86"/>
      <c r="Z53" s="96">
        <f>HLOOKUP($C$7,U52:Y57,2,FALSE)</f>
        <v>6.78</v>
      </c>
    </row>
    <row r="54" spans="12:26" x14ac:dyDescent="0.25">
      <c r="L54" s="2">
        <v>120</v>
      </c>
      <c r="M54" s="68">
        <v>3.4</v>
      </c>
      <c r="N54" s="68"/>
      <c r="O54" s="68">
        <v>3.4</v>
      </c>
      <c r="P54" s="68"/>
      <c r="Q54" s="68">
        <v>3.4</v>
      </c>
      <c r="R54" s="96">
        <f>HLOOKUP($C$7,M52:Q58,3,FALSE)</f>
        <v>3.4</v>
      </c>
      <c r="T54" s="2">
        <v>120</v>
      </c>
      <c r="U54" s="112">
        <v>10.17</v>
      </c>
      <c r="V54" s="68"/>
      <c r="W54" s="86"/>
      <c r="X54" s="86"/>
      <c r="Y54" s="86"/>
      <c r="Z54" s="96">
        <f>HLOOKUP($C$7,U52:Y57,3,FALSE)</f>
        <v>10.17</v>
      </c>
    </row>
    <row r="55" spans="12:26" x14ac:dyDescent="0.25">
      <c r="L55" s="2">
        <v>240</v>
      </c>
      <c r="M55" s="68">
        <v>6.81</v>
      </c>
      <c r="N55" s="68"/>
      <c r="O55" s="68">
        <v>6.81</v>
      </c>
      <c r="P55" s="68"/>
      <c r="Q55" s="68">
        <v>6.81</v>
      </c>
      <c r="R55" s="96">
        <f>HLOOKUP($C$7,M52:Q58,4,FALSE)</f>
        <v>6.81</v>
      </c>
      <c r="T55" s="2">
        <v>240</v>
      </c>
      <c r="U55" s="112">
        <v>20.329999999999998</v>
      </c>
      <c r="V55" s="68"/>
      <c r="W55" s="86"/>
      <c r="X55" s="86"/>
      <c r="Y55" s="86"/>
      <c r="Z55" s="96">
        <f>HLOOKUP($C$7,U52:Y57,4,FALSE)</f>
        <v>20.329999999999998</v>
      </c>
    </row>
    <row r="56" spans="12:26" x14ac:dyDescent="0.25">
      <c r="L56" s="2">
        <v>660</v>
      </c>
      <c r="M56" s="68">
        <v>18.72</v>
      </c>
      <c r="N56" s="68"/>
      <c r="O56" s="68">
        <v>18.72</v>
      </c>
      <c r="P56" s="68"/>
      <c r="Q56" s="68">
        <v>18.72</v>
      </c>
      <c r="R56" s="96">
        <f>HLOOKUP($C$7,M52:Q58,5,FALSE)</f>
        <v>18.72</v>
      </c>
      <c r="T56" s="2">
        <v>660</v>
      </c>
      <c r="U56" s="112">
        <v>55.91</v>
      </c>
      <c r="V56" s="68"/>
      <c r="W56" s="86"/>
      <c r="X56" s="86"/>
      <c r="Y56" s="86"/>
      <c r="Z56" s="96">
        <f>HLOOKUP($C$7,U52:Y57,5,FALSE)</f>
        <v>55.91</v>
      </c>
    </row>
    <row r="57" spans="12:26" x14ac:dyDescent="0.25">
      <c r="L57" s="2">
        <v>1100</v>
      </c>
      <c r="M57" s="68">
        <v>31.2</v>
      </c>
      <c r="N57" s="68"/>
      <c r="O57" s="68">
        <v>31.2</v>
      </c>
      <c r="P57" s="68"/>
      <c r="Q57" s="68">
        <v>31.2</v>
      </c>
      <c r="R57" s="96">
        <f>HLOOKUP($C$7,M52:Q58,6,FALSE)</f>
        <v>31.2</v>
      </c>
      <c r="T57" s="2">
        <v>1100</v>
      </c>
      <c r="U57" s="112">
        <v>93.18</v>
      </c>
      <c r="V57" s="68"/>
      <c r="W57" s="86"/>
      <c r="X57" s="86"/>
      <c r="Y57" s="86"/>
      <c r="Z57" s="96">
        <f>HLOOKUP($C$7,U52:Y57,6,FALSE)</f>
        <v>93.18</v>
      </c>
    </row>
    <row r="58" spans="12:26" x14ac:dyDescent="0.25">
      <c r="M58" s="68"/>
      <c r="N58" s="68"/>
      <c r="O58" s="28"/>
      <c r="P58" s="28"/>
      <c r="Q58" s="28"/>
      <c r="R58" s="96"/>
      <c r="U58" s="68"/>
      <c r="V58" s="68"/>
      <c r="W58" s="28"/>
      <c r="X58" s="28"/>
      <c r="Y58" s="28"/>
      <c r="Z58" s="96"/>
    </row>
    <row r="59" spans="12:26" x14ac:dyDescent="0.25">
      <c r="L59" s="6" t="s">
        <v>62</v>
      </c>
      <c r="M59" s="6" t="s">
        <v>2</v>
      </c>
      <c r="O59" s="73" t="s">
        <v>62</v>
      </c>
      <c r="P59" s="73" t="s">
        <v>76</v>
      </c>
      <c r="V59" s="2"/>
      <c r="W59" s="2"/>
      <c r="X59" s="2"/>
      <c r="Y59" s="2"/>
      <c r="Z59" s="2"/>
    </row>
    <row r="60" spans="12:26" x14ac:dyDescent="0.25">
      <c r="L60" s="2" t="s">
        <v>4</v>
      </c>
      <c r="M60" s="2">
        <v>0.27810000000000001</v>
      </c>
      <c r="O60" s="2" t="s">
        <v>4</v>
      </c>
      <c r="P60" s="2">
        <v>0.15040000000000001</v>
      </c>
      <c r="V60" s="2"/>
      <c r="W60" s="28"/>
      <c r="X60" s="28"/>
      <c r="Y60" s="28"/>
      <c r="Z60" s="2"/>
    </row>
    <row r="61" spans="12:26" x14ac:dyDescent="0.25">
      <c r="L61" s="2" t="s">
        <v>5</v>
      </c>
      <c r="O61" s="2" t="s">
        <v>5</v>
      </c>
      <c r="V61" s="2"/>
      <c r="W61" s="28"/>
      <c r="X61" s="28"/>
      <c r="Y61" s="28"/>
      <c r="Z61" s="2"/>
    </row>
    <row r="62" spans="12:26" x14ac:dyDescent="0.25">
      <c r="L62" s="2" t="s">
        <v>6</v>
      </c>
      <c r="M62" s="2">
        <v>0.27810000000000001</v>
      </c>
      <c r="O62" s="2" t="s">
        <v>6</v>
      </c>
      <c r="P62" s="2">
        <v>0.15040000000000001</v>
      </c>
      <c r="U62" s="2"/>
      <c r="V62" s="2"/>
      <c r="W62" s="28"/>
      <c r="X62" s="28"/>
      <c r="Y62" s="28"/>
      <c r="Z62" s="2"/>
    </row>
    <row r="63" spans="12:26" x14ac:dyDescent="0.25">
      <c r="U63" s="2"/>
      <c r="V63" s="2"/>
      <c r="W63" s="28"/>
      <c r="X63" s="28"/>
      <c r="Y63" s="28"/>
      <c r="Z63" s="2"/>
    </row>
    <row r="64" spans="12:26" x14ac:dyDescent="0.25">
      <c r="L64" s="2" t="s">
        <v>8</v>
      </c>
      <c r="M64" s="2">
        <v>0.27810000000000001</v>
      </c>
      <c r="O64" s="2" t="s">
        <v>8</v>
      </c>
      <c r="P64" s="2">
        <v>0.15040000000000001</v>
      </c>
      <c r="U64" s="2"/>
      <c r="V64" s="2"/>
      <c r="W64" s="28"/>
      <c r="X64" s="28"/>
      <c r="Y64" s="28"/>
      <c r="Z64" s="2"/>
    </row>
    <row r="65" spans="11:26" x14ac:dyDescent="0.25">
      <c r="O65" s="28"/>
      <c r="P65" s="28"/>
      <c r="Q65" s="28"/>
      <c r="R65" s="28"/>
      <c r="S65" s="2" t="s">
        <v>57</v>
      </c>
    </row>
    <row r="66" spans="11:26" x14ac:dyDescent="0.25">
      <c r="O66" s="28"/>
      <c r="P66" s="28"/>
      <c r="Q66" s="28"/>
      <c r="R66" s="28"/>
      <c r="S66" s="2" t="s">
        <v>58</v>
      </c>
      <c r="U66" s="2"/>
      <c r="V66" s="2"/>
      <c r="W66" s="28"/>
      <c r="X66" s="28"/>
      <c r="Y66" s="28"/>
      <c r="Z66" s="28"/>
    </row>
    <row r="67" spans="11:26" x14ac:dyDescent="0.25">
      <c r="K67" s="2">
        <v>1</v>
      </c>
      <c r="L67" s="2" t="s">
        <v>2</v>
      </c>
      <c r="M67" s="2" t="s">
        <v>4</v>
      </c>
      <c r="N67" s="2" t="s">
        <v>5</v>
      </c>
      <c r="O67" s="2" t="s">
        <v>6</v>
      </c>
      <c r="Q67" s="2" t="s">
        <v>8</v>
      </c>
      <c r="R67" s="74" t="str">
        <f>HLOOKUP($C$7,M67:Q76,1,FALSE)</f>
        <v>MOK</v>
      </c>
      <c r="U67" s="2"/>
      <c r="V67" s="2"/>
      <c r="W67" s="28"/>
      <c r="X67" s="28"/>
      <c r="Y67" s="28"/>
      <c r="Z67" s="28"/>
    </row>
    <row r="68" spans="11:26" x14ac:dyDescent="0.25">
      <c r="K68" s="2">
        <v>2</v>
      </c>
      <c r="L68" s="2" t="s">
        <v>59</v>
      </c>
      <c r="M68" s="2">
        <v>0.151</v>
      </c>
      <c r="O68" s="2">
        <v>0.151</v>
      </c>
      <c r="Q68" s="2">
        <v>0.151</v>
      </c>
      <c r="R68" s="22">
        <v>0.151</v>
      </c>
      <c r="U68" s="2"/>
      <c r="V68" s="2"/>
      <c r="W68" s="28"/>
      <c r="X68" s="28"/>
      <c r="Y68" s="28"/>
      <c r="Z68" s="28"/>
    </row>
    <row r="69" spans="11:26" x14ac:dyDescent="0.25">
      <c r="K69" s="2">
        <v>3</v>
      </c>
      <c r="L69" s="2" t="s">
        <v>60</v>
      </c>
      <c r="M69" s="2">
        <v>2.7000000000000001E-3</v>
      </c>
      <c r="O69" s="2">
        <v>2.7000000000000001E-3</v>
      </c>
      <c r="Q69" s="2">
        <v>2.7000000000000001E-3</v>
      </c>
      <c r="R69" s="22">
        <f t="shared" ref="R69:R76" si="4">HLOOKUP($C$7,$M$67:$Q$76,K69,FALSE)</f>
        <v>2.7000000000000001E-3</v>
      </c>
      <c r="T69" s="28" t="s">
        <v>1</v>
      </c>
      <c r="U69" s="28" t="s">
        <v>62</v>
      </c>
      <c r="V69" s="2"/>
      <c r="W69" s="28"/>
      <c r="X69" s="28"/>
      <c r="Y69" s="28"/>
      <c r="Z69" s="28"/>
    </row>
    <row r="70" spans="11:26" x14ac:dyDescent="0.25">
      <c r="K70" s="2">
        <v>4</v>
      </c>
      <c r="L70" s="2" t="s">
        <v>96</v>
      </c>
      <c r="M70" s="113">
        <v>0.16009999999999999</v>
      </c>
      <c r="O70" s="113">
        <v>0.16009999999999999</v>
      </c>
      <c r="P70" s="113"/>
      <c r="Q70" s="113">
        <v>0.16009999999999999</v>
      </c>
      <c r="R70" s="22">
        <v>0.16009999999999999</v>
      </c>
      <c r="T70" s="2" t="s">
        <v>7</v>
      </c>
      <c r="U70" s="2">
        <v>0.1779</v>
      </c>
      <c r="V70" s="2"/>
      <c r="W70" s="28"/>
      <c r="X70" s="28"/>
      <c r="Y70" s="28"/>
      <c r="Z70" s="28"/>
    </row>
    <row r="71" spans="11:26" x14ac:dyDescent="0.25">
      <c r="K71" s="2">
        <v>5</v>
      </c>
      <c r="L71" s="2" t="s">
        <v>97</v>
      </c>
      <c r="M71" s="113">
        <v>3.3099999999999997E-2</v>
      </c>
      <c r="O71" s="113">
        <v>3.3099999999999997E-2</v>
      </c>
      <c r="P71" s="113"/>
      <c r="Q71" s="113">
        <v>3.3099999999999997E-2</v>
      </c>
      <c r="R71" s="22">
        <v>3.3099999999999997E-2</v>
      </c>
    </row>
    <row r="72" spans="11:26" x14ac:dyDescent="0.25">
      <c r="K72" s="2">
        <v>6</v>
      </c>
      <c r="L72" s="2" t="s">
        <v>98</v>
      </c>
      <c r="M72" s="113">
        <v>0.1459</v>
      </c>
      <c r="O72" s="113">
        <v>0.1459</v>
      </c>
      <c r="P72" s="113"/>
      <c r="Q72" s="113">
        <v>0.1459</v>
      </c>
      <c r="R72" s="22">
        <v>0.1459</v>
      </c>
      <c r="W72" s="2" t="s">
        <v>50</v>
      </c>
      <c r="X72" s="2"/>
      <c r="Y72" s="2" t="s">
        <v>51</v>
      </c>
      <c r="Z72" s="2"/>
    </row>
    <row r="73" spans="11:26" x14ac:dyDescent="0.25">
      <c r="K73" s="2">
        <v>7</v>
      </c>
      <c r="L73" s="2" t="s">
        <v>99</v>
      </c>
      <c r="M73" s="113">
        <v>3.95E-2</v>
      </c>
      <c r="O73" s="113">
        <v>3.95E-2</v>
      </c>
      <c r="P73" s="113"/>
      <c r="Q73" s="113">
        <v>3.95E-2</v>
      </c>
      <c r="R73" s="22">
        <v>3.95E-2</v>
      </c>
      <c r="W73" s="2" t="s">
        <v>52</v>
      </c>
      <c r="X73" s="2"/>
      <c r="Y73" s="2" t="s">
        <v>53</v>
      </c>
      <c r="Z73" s="2"/>
    </row>
    <row r="74" spans="11:26" x14ac:dyDescent="0.25">
      <c r="K74" s="2">
        <v>8</v>
      </c>
      <c r="L74" s="2" t="s">
        <v>65</v>
      </c>
      <c r="R74" s="22">
        <f t="shared" si="4"/>
        <v>0</v>
      </c>
      <c r="W74" s="2"/>
      <c r="X74" s="2"/>
      <c r="Y74" s="2" t="s">
        <v>54</v>
      </c>
      <c r="Z74" s="2"/>
    </row>
    <row r="75" spans="11:26" x14ac:dyDescent="0.25">
      <c r="K75" s="2">
        <v>9</v>
      </c>
      <c r="L75" s="2" t="s">
        <v>69</v>
      </c>
      <c r="M75" s="2">
        <v>0.151</v>
      </c>
      <c r="O75" s="2">
        <v>0.151</v>
      </c>
      <c r="Q75" s="2">
        <v>0.151</v>
      </c>
      <c r="R75" s="22">
        <f t="shared" si="4"/>
        <v>0.151</v>
      </c>
    </row>
    <row r="76" spans="11:26" x14ac:dyDescent="0.25">
      <c r="K76" s="2">
        <v>10</v>
      </c>
      <c r="L76" s="2" t="s">
        <v>70</v>
      </c>
      <c r="M76" s="2">
        <v>2.7000000000000001E-3</v>
      </c>
      <c r="O76" s="2">
        <v>2.7000000000000001E-3</v>
      </c>
      <c r="Q76" s="2">
        <v>2.7000000000000001E-3</v>
      </c>
      <c r="R76" s="22">
        <f t="shared" si="4"/>
        <v>2.7000000000000001E-3</v>
      </c>
    </row>
    <row r="84" spans="17:18" x14ac:dyDescent="0.25">
      <c r="Q84" s="2" t="s">
        <v>55</v>
      </c>
      <c r="R84" s="2" t="s">
        <v>56</v>
      </c>
    </row>
    <row r="85" spans="17:18" x14ac:dyDescent="0.25">
      <c r="Q85" s="2">
        <v>80</v>
      </c>
    </row>
    <row r="86" spans="17:18" x14ac:dyDescent="0.25">
      <c r="Q86" s="2">
        <v>120</v>
      </c>
      <c r="R86" s="2">
        <v>0.15140000000000001</v>
      </c>
    </row>
    <row r="87" spans="17:18" x14ac:dyDescent="0.25">
      <c r="Q87" s="2">
        <v>160</v>
      </c>
      <c r="R87" s="2">
        <v>0.2019</v>
      </c>
    </row>
    <row r="88" spans="17:18" x14ac:dyDescent="0.25">
      <c r="Q88" s="2">
        <v>240</v>
      </c>
      <c r="R88" s="2">
        <v>0.30280000000000001</v>
      </c>
    </row>
    <row r="89" spans="17:18" x14ac:dyDescent="0.25">
      <c r="Q89" s="2">
        <v>500</v>
      </c>
      <c r="R89" s="2">
        <v>0.63080000000000003</v>
      </c>
    </row>
    <row r="90" spans="17:18" x14ac:dyDescent="0.25">
      <c r="Q90" s="2">
        <v>660</v>
      </c>
      <c r="R90" s="2">
        <v>0.83260000000000001</v>
      </c>
    </row>
    <row r="91" spans="17:18" x14ac:dyDescent="0.25">
      <c r="Q91" s="2">
        <v>700</v>
      </c>
      <c r="R91" s="2">
        <v>0.8831</v>
      </c>
    </row>
    <row r="92" spans="17:18" x14ac:dyDescent="0.25">
      <c r="Q92" s="2">
        <v>900</v>
      </c>
      <c r="R92" s="2">
        <v>1.1354</v>
      </c>
    </row>
    <row r="93" spans="17:18" x14ac:dyDescent="0.25">
      <c r="Q93" s="2">
        <v>1100</v>
      </c>
      <c r="R93" s="2">
        <v>1.3876999999999999</v>
      </c>
    </row>
  </sheetData>
  <sheetProtection algorithmName="SHA-512" hashValue="t54GlL0b+zq+T/D2mnV16M04uUI49P1FKjNKybEPSGpy7Cdj6AWbjfIUd6B1LdHpHsj4+qXIxKHSe6t4ZDc+2g==" saltValue="CLa8y39YIZIPyBfSMAkVxQ==" spinCount="100000" sheet="1" objects="1" scenarios="1"/>
  <protectedRanges>
    <protectedRange sqref="G10:G12" name="Obseg4"/>
    <protectedRange sqref="E10:E12" name="Obseg4_1"/>
    <protectedRange sqref="C10:C12" name="Obseg3"/>
    <protectedRange sqref="C7" name="Obseg1"/>
  </protectedRanges>
  <dataConsolidate/>
  <phoneticPr fontId="1" type="noConversion"/>
  <conditionalFormatting sqref="D26">
    <cfRule type="cellIs" dxfId="1" priority="2" stopIfTrue="1" operator="equal">
      <formula>0</formula>
    </cfRule>
  </conditionalFormatting>
  <conditionalFormatting sqref="D18:I26">
    <cfRule type="cellIs" dxfId="0" priority="3" stopIfTrue="1" operator="equal">
      <formula>0</formula>
    </cfRule>
  </conditionalFormatting>
  <dataValidations xWindow="516" yWindow="441" count="12">
    <dataValidation operator="greaterThanOrEqual" allowBlank="1" showInputMessage="1" showErrorMessage="1" sqref="G9 E9 C9" xr:uid="{00000000-0002-0000-0100-000000000000}"/>
    <dataValidation type="list" allowBlank="1" showInputMessage="1" showErrorMessage="1" sqref="F10" xr:uid="{00000000-0002-0000-0100-000001000000}">
      <formula1>$S$38:$S$42</formula1>
    </dataValidation>
    <dataValidation type="list" allowBlank="1" showInputMessage="1" showErrorMessage="1" sqref="E11:F11" xr:uid="{00000000-0002-0000-0100-000002000000}">
      <formula1>$L$6:$L$9</formula1>
    </dataValidation>
    <dataValidation type="list" allowBlank="1" showInputMessage="1" showErrorMessage="1" sqref="G11" xr:uid="{00000000-0002-0000-0100-000003000000}">
      <formula1>$M$6:$M$9</formula1>
    </dataValidation>
    <dataValidation type="list" allowBlank="1" showInputMessage="1" showErrorMessage="1" sqref="C11" xr:uid="{00000000-0002-0000-0100-000004000000}">
      <formula1>$L$25:$L$29</formula1>
    </dataValidation>
    <dataValidation type="list" allowBlank="1" showInputMessage="1" showErrorMessage="1" sqref="C10" xr:uid="{00000000-0002-0000-0100-000005000000}">
      <formula1>$L$20:$L$21</formula1>
    </dataValidation>
    <dataValidation type="list" allowBlank="1" showInputMessage="1" showErrorMessage="1" sqref="F12" xr:uid="{00000000-0002-0000-0100-000007000000}">
      <formula1>$S$38:$S$61</formula1>
    </dataValidation>
    <dataValidation type="list" operator="greaterThanOrEqual" allowBlank="1" showInputMessage="1" showErrorMessage="1" sqref="C8" xr:uid="{00000000-0002-0000-0100-000008000000}">
      <formula1>$Z$19:$Z$61</formula1>
    </dataValidation>
    <dataValidation type="list" allowBlank="1" showInputMessage="1" showErrorMessage="1" sqref="C12 E12 G12" xr:uid="{00000000-0002-0000-0100-000009000000}">
      <formula1>$S$38:$S$47</formula1>
    </dataValidation>
    <dataValidation type="list" allowBlank="1" showInputMessage="1" showErrorMessage="1" prompt="V primeru tedenskega odvoza bioloških odpadkov izberite 1. V primeru odvoza bioloških odpadkov na 14 dni pa izberite 0,5." sqref="G10" xr:uid="{00000000-0002-0000-0100-00000A000000}">
      <formula1>$P$20:$P$21</formula1>
    </dataValidation>
    <dataValidation type="list" allowBlank="1" showInputMessage="1" showErrorMessage="1" sqref="E10" xr:uid="{00000000-0002-0000-0100-00000B000000}">
      <formula1>$N$20:$N$21</formula1>
    </dataValidation>
    <dataValidation type="list" allowBlank="1" showInputMessage="1" showErrorMessage="1" sqref="C7" xr:uid="{00000000-0002-0000-0100-000006000000}">
      <formula1>$O$7:$O$9</formula1>
    </dataValidation>
  </dataValidations>
  <pageMargins left="0.75" right="0.75" top="1" bottom="1" header="0" footer="0"/>
  <pageSetup paperSize="9" orientation="portrait" r:id="rId1"/>
  <headerFooter alignWithMargins="0"/>
  <customProperties>
    <customPr name="SSCSheetTrackingNo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714388DC-CEBC-4438-9584-976A261E708E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Gospodinjstva</vt:lpstr>
      <vt:lpstr>Pravne osebe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Mitja Zupan</dc:creator>
  <cp:lastModifiedBy>kskrabec</cp:lastModifiedBy>
  <cp:lastPrinted>2010-09-14T06:47:20Z</cp:lastPrinted>
  <dcterms:created xsi:type="dcterms:W3CDTF">2009-09-25T06:44:07Z</dcterms:created>
  <dcterms:modified xsi:type="dcterms:W3CDTF">2024-08-05T10:04:55Z</dcterms:modified>
</cp:coreProperties>
</file>